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-120" yWindow="-120" windowWidth="13365" windowHeight="12255" tabRatio="961" activeTab="7"/>
  </bookViews>
  <sheets>
    <sheet name="пр.1" sheetId="43" r:id="rId1"/>
    <sheet name="пр.2" sheetId="57" r:id="rId2"/>
    <sheet name="пр.3" sheetId="15" r:id="rId3"/>
    <sheet name="пр.4" sheetId="58" r:id="rId4"/>
    <sheet name="пр.5" sheetId="17" r:id="rId5"/>
    <sheet name="пр.6" sheetId="65" r:id="rId6"/>
    <sheet name="пр.7 2024г" sheetId="19" r:id="rId7"/>
    <sheet name="пр.8 2024-2026г" sheetId="60" r:id="rId8"/>
    <sheet name="пр.9 " sheetId="21" r:id="rId9"/>
    <sheet name="пр.10 " sheetId="61" r:id="rId10"/>
    <sheet name="пр.11 2024г" sheetId="76" r:id="rId11"/>
    <sheet name="пр.12 2025-2026г" sheetId="77" r:id="rId12"/>
    <sheet name="пр.14 2024г" sheetId="27" r:id="rId13"/>
    <sheet name="пр.15 2025-2026г" sheetId="63" r:id="rId14"/>
    <sheet name="пр.18 2024г" sheetId="29" r:id="rId15"/>
    <sheet name="пр.19  2025-2026" sheetId="66" r:id="rId16"/>
    <sheet name="пр.20 2023г" sheetId="74" r:id="rId17"/>
    <sheet name="пр.21 2024-25" sheetId="75" r:id="rId18"/>
  </sheets>
  <externalReferences>
    <externalReference r:id="rId19"/>
    <externalReference r:id="rId20"/>
    <externalReference r:id="rId21"/>
  </externalReferences>
  <definedNames>
    <definedName name="_GoBack" localSheetId="6">'пр.7 2024г'!#REF!</definedName>
    <definedName name="_xlnm._FilterDatabase" localSheetId="10" hidden="1">'пр.11 2024г'!$A$10:$H$503</definedName>
    <definedName name="_xlnm._FilterDatabase" localSheetId="2" hidden="1">пр.3!$A$9:$D$131</definedName>
    <definedName name="_xlnm._FilterDatabase" localSheetId="3" hidden="1">пр.4!$A$10:$H$78</definedName>
    <definedName name="_xlnm._FilterDatabase" localSheetId="4" hidden="1">пр.5!$A$9:$D$57</definedName>
    <definedName name="_xlnm._FilterDatabase" localSheetId="5" hidden="1">пр.6!$A$11:$F$61</definedName>
    <definedName name="_xlnm._FilterDatabase" localSheetId="6" hidden="1">'пр.7 2024г'!$A$12:$G$766</definedName>
    <definedName name="_xlnm._FilterDatabase" localSheetId="7" hidden="1">'пр.8 2024-2026г'!$A$12:$N$577</definedName>
    <definedName name="_xlnm.Print_Titles" localSheetId="2">пр.3!#REF!</definedName>
    <definedName name="_xlnm.Print_Titles" localSheetId="4">пр.5!#REF!</definedName>
    <definedName name="_xlnm.Print_Titles" localSheetId="6">'пр.7 2024г'!$12:$12</definedName>
    <definedName name="_xlnm.Print_Area" localSheetId="0">пр.1!$A$1:$D$71</definedName>
    <definedName name="_xlnm.Print_Area" localSheetId="9">'пр.10 '!$A$1:$D$32</definedName>
    <definedName name="_xlnm.Print_Area" localSheetId="10">'пр.11 2024г'!$A$1:$H$503</definedName>
    <definedName name="_xlnm.Print_Area" localSheetId="11">'пр.12 2025-2026г'!$A$1:$H$297</definedName>
    <definedName name="_xlnm.Print_Area" localSheetId="13">'пр.15 2025-2026г'!$A$1:$D$22</definedName>
    <definedName name="_xlnm.Print_Area" localSheetId="14">'пр.18 2024г'!$A$1:$C$137</definedName>
    <definedName name="_xlnm.Print_Area" localSheetId="15">'пр.19  2025-2026'!$A$1:$E$122</definedName>
    <definedName name="_xlnm.Print_Area" localSheetId="1">пр.2!$A$1:$E$65</definedName>
    <definedName name="_xlnm.Print_Area" localSheetId="16">'пр.20 2023г'!$A$1:$I$31</definedName>
    <definedName name="_xlnm.Print_Area" localSheetId="2">пр.3!$A$1:$D$131</definedName>
    <definedName name="_xlnm.Print_Area" localSheetId="3">пр.4!$A$1:$E$78</definedName>
    <definedName name="_xlnm.Print_Area" localSheetId="4">пр.5!$A$1:$D$57</definedName>
    <definedName name="_xlnm.Print_Area" localSheetId="5">пр.6!$A$1:$F$59</definedName>
    <definedName name="_xlnm.Print_Area" localSheetId="6">'пр.7 2024г'!$A$1:$H$760</definedName>
    <definedName name="_xlnm.Print_Area" localSheetId="7">'пр.8 2024-2026г'!$A$1:$H$575</definedName>
    <definedName name="_xlnm.Print_Area" localSheetId="8">'пр.9 '!$A$1:$C$31</definedName>
  </definedNames>
  <calcPr calcId="12451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24" i="76"/>
  <c r="I233" l="1"/>
  <c r="I232"/>
  <c r="I231" s="1"/>
  <c r="I230"/>
  <c r="I229" s="1"/>
  <c r="I228"/>
  <c r="I227" s="1"/>
  <c r="I226"/>
  <c r="J224"/>
  <c r="J223" s="1"/>
  <c r="I221"/>
  <c r="I215"/>
  <c r="J208"/>
  <c r="J206" s="1"/>
  <c r="I208"/>
  <c r="I218"/>
  <c r="J212"/>
  <c r="I212"/>
  <c r="I210" s="1"/>
  <c r="I205" s="1"/>
  <c r="J211"/>
  <c r="J210" s="1"/>
  <c r="I211"/>
  <c r="I190"/>
  <c r="I185" s="1"/>
  <c r="I203"/>
  <c r="J201"/>
  <c r="I201"/>
  <c r="J200"/>
  <c r="I195"/>
  <c r="I194"/>
  <c r="J183"/>
  <c r="J182"/>
  <c r="J181" s="1"/>
  <c r="I181"/>
  <c r="J180"/>
  <c r="J179" s="1"/>
  <c r="I179"/>
  <c r="J178"/>
  <c r="I176"/>
  <c r="I174"/>
  <c r="I172"/>
  <c r="I171" s="1"/>
  <c r="I169" s="1"/>
  <c r="J148"/>
  <c r="J147"/>
  <c r="J158"/>
  <c r="J157"/>
  <c r="I155"/>
  <c r="I161"/>
  <c r="I160" s="1"/>
  <c r="I159" s="1"/>
  <c r="J160"/>
  <c r="J159" s="1"/>
  <c r="J154"/>
  <c r="J153"/>
  <c r="J152"/>
  <c r="I150"/>
  <c r="J149"/>
  <c r="J146"/>
  <c r="I145"/>
  <c r="J144"/>
  <c r="I142"/>
  <c r="J141"/>
  <c r="J140"/>
  <c r="I138"/>
  <c r="J137"/>
  <c r="J136"/>
  <c r="J135"/>
  <c r="J134"/>
  <c r="I133"/>
  <c r="J132"/>
  <c r="J131"/>
  <c r="J130"/>
  <c r="I129"/>
  <c r="J128"/>
  <c r="J127" s="1"/>
  <c r="I127"/>
  <c r="I125"/>
  <c r="J125" s="1"/>
  <c r="I124"/>
  <c r="J124" s="1"/>
  <c r="J122"/>
  <c r="I120"/>
  <c r="I119"/>
  <c r="I117"/>
  <c r="I112"/>
  <c r="I109"/>
  <c r="I108"/>
  <c r="I107" s="1"/>
  <c r="I105"/>
  <c r="J104"/>
  <c r="I102"/>
  <c r="I99"/>
  <c r="I98"/>
  <c r="J98" s="1"/>
  <c r="J97"/>
  <c r="I97"/>
  <c r="I96" s="1"/>
  <c r="I86"/>
  <c r="I81"/>
  <c r="J81"/>
  <c r="J80"/>
  <c r="J79" s="1"/>
  <c r="J78" s="1"/>
  <c r="J77" s="1"/>
  <c r="J74"/>
  <c r="J73" s="1"/>
  <c r="I73"/>
  <c r="I70"/>
  <c r="I69" s="1"/>
  <c r="I68" s="1"/>
  <c r="I67" s="1"/>
  <c r="J70"/>
  <c r="J69"/>
  <c r="I65"/>
  <c r="I63"/>
  <c r="J62"/>
  <c r="I58"/>
  <c r="I57" s="1"/>
  <c r="J54"/>
  <c r="J53" s="1"/>
  <c r="I54"/>
  <c r="I53" s="1"/>
  <c r="J50"/>
  <c r="I50"/>
  <c r="J47"/>
  <c r="J46"/>
  <c r="I44"/>
  <c r="I42"/>
  <c r="I40"/>
  <c r="J39"/>
  <c r="I39"/>
  <c r="I38"/>
  <c r="I37" s="1"/>
  <c r="J37"/>
  <c r="I36"/>
  <c r="I35"/>
  <c r="I34" s="1"/>
  <c r="I33"/>
  <c r="I32" s="1"/>
  <c r="I29"/>
  <c r="I28"/>
  <c r="I27"/>
  <c r="I26" s="1"/>
  <c r="I25"/>
  <c r="I24"/>
  <c r="I23"/>
  <c r="I20"/>
  <c r="I19" s="1"/>
  <c r="I18"/>
  <c r="J18" s="1"/>
  <c r="J17" s="1"/>
  <c r="I17"/>
  <c r="I16" s="1"/>
  <c r="I15" s="1"/>
  <c r="I13"/>
  <c r="I12" s="1"/>
  <c r="I11" s="1"/>
  <c r="J12"/>
  <c r="J11" s="1"/>
  <c r="I206" l="1"/>
  <c r="J205"/>
  <c r="I193"/>
  <c r="J16"/>
  <c r="J15"/>
  <c r="J14" s="1"/>
  <c r="I22"/>
  <c r="I21" s="1"/>
  <c r="I14" s="1"/>
  <c r="J27"/>
  <c r="J26" s="1"/>
  <c r="J22" s="1"/>
  <c r="J21" s="1"/>
  <c r="J33"/>
  <c r="J32" s="1"/>
  <c r="J96"/>
  <c r="J90" s="1"/>
  <c r="J228"/>
  <c r="J227" s="1"/>
  <c r="J220" s="1"/>
  <c r="I123"/>
  <c r="I115" s="1"/>
  <c r="I220"/>
  <c r="I184"/>
  <c r="J204"/>
  <c r="J203" s="1"/>
  <c r="J185" s="1"/>
  <c r="J184" s="1"/>
  <c r="I173"/>
  <c r="I168" s="1"/>
  <c r="J175"/>
  <c r="J174" s="1"/>
  <c r="J177"/>
  <c r="J176" s="1"/>
  <c r="I126"/>
  <c r="J156"/>
  <c r="J155" s="1"/>
  <c r="I90"/>
  <c r="J123"/>
  <c r="J145"/>
  <c r="J129"/>
  <c r="J133"/>
  <c r="J103"/>
  <c r="J102" s="1"/>
  <c r="J108"/>
  <c r="J107" s="1"/>
  <c r="J121"/>
  <c r="J120" s="1"/>
  <c r="J139"/>
  <c r="J138" s="1"/>
  <c r="J143"/>
  <c r="J142" s="1"/>
  <c r="J151"/>
  <c r="J150" s="1"/>
  <c r="J68"/>
  <c r="J67" s="1"/>
  <c r="J56" s="1"/>
  <c r="I62"/>
  <c r="I56" s="1"/>
  <c r="I79"/>
  <c r="I78" s="1"/>
  <c r="I77" s="1"/>
  <c r="J45"/>
  <c r="I31"/>
  <c r="I30" s="1"/>
  <c r="J42"/>
  <c r="J31" s="1"/>
  <c r="J30" s="1"/>
  <c r="I85" l="1"/>
  <c r="I84" s="1"/>
  <c r="I83" s="1"/>
  <c r="J173"/>
  <c r="J168" s="1"/>
  <c r="J126"/>
  <c r="J115"/>
  <c r="J85" s="1"/>
  <c r="J84" l="1"/>
  <c r="J83" s="1"/>
  <c r="G537" i="60" l="1"/>
  <c r="G93" i="19"/>
  <c r="G95"/>
  <c r="G107"/>
  <c r="G105"/>
  <c r="H537" i="60"/>
  <c r="H538"/>
  <c r="H536"/>
  <c r="K156" i="19"/>
  <c r="G158"/>
  <c r="G156"/>
  <c r="G141"/>
  <c r="G134"/>
  <c r="K93"/>
  <c r="K94"/>
  <c r="K95"/>
  <c r="K97"/>
  <c r="K98"/>
  <c r="K99"/>
  <c r="K100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4"/>
  <c r="K255"/>
  <c r="K256"/>
  <c r="K260"/>
  <c r="K262"/>
  <c r="K263"/>
  <c r="K265"/>
  <c r="K267"/>
  <c r="K269"/>
  <c r="K271"/>
  <c r="K273"/>
  <c r="K275"/>
  <c r="K277"/>
  <c r="K279"/>
  <c r="K280"/>
  <c r="K281"/>
  <c r="K286"/>
  <c r="K289"/>
  <c r="K292"/>
  <c r="K295"/>
  <c r="K296"/>
  <c r="K297"/>
  <c r="K298"/>
  <c r="K299"/>
  <c r="K300"/>
  <c r="K301"/>
  <c r="K302"/>
  <c r="K303"/>
  <c r="K304"/>
  <c r="K305"/>
  <c r="K306"/>
  <c r="K307"/>
  <c r="K308"/>
  <c r="K309"/>
  <c r="K310"/>
  <c r="K311"/>
  <c r="K312"/>
  <c r="K313"/>
  <c r="K314"/>
  <c r="K315"/>
  <c r="K316"/>
  <c r="K317"/>
  <c r="K318"/>
  <c r="K319"/>
  <c r="K320"/>
  <c r="K321"/>
  <c r="K322"/>
  <c r="K323"/>
  <c r="K324"/>
  <c r="K325"/>
  <c r="K326"/>
  <c r="K327"/>
  <c r="K328"/>
  <c r="K329"/>
  <c r="K330"/>
  <c r="K331"/>
  <c r="K332"/>
  <c r="K333"/>
  <c r="K334"/>
  <c r="K335"/>
  <c r="K336"/>
  <c r="K337"/>
  <c r="K338"/>
  <c r="K339"/>
  <c r="K340"/>
  <c r="K341"/>
  <c r="K342"/>
  <c r="K343"/>
  <c r="K344"/>
  <c r="K345"/>
  <c r="K346"/>
  <c r="K347"/>
  <c r="K348"/>
  <c r="K349"/>
  <c r="K350"/>
  <c r="K351"/>
  <c r="K352"/>
  <c r="K353"/>
  <c r="K354"/>
  <c r="K355"/>
  <c r="K356"/>
  <c r="K357"/>
  <c r="K358"/>
  <c r="K359"/>
  <c r="K360"/>
  <c r="K361"/>
  <c r="K362"/>
  <c r="K363"/>
  <c r="K364"/>
  <c r="K365"/>
  <c r="K366"/>
  <c r="K367"/>
  <c r="K368"/>
  <c r="K369"/>
  <c r="K370"/>
  <c r="K371"/>
  <c r="K372"/>
  <c r="K373"/>
  <c r="K374"/>
  <c r="K375"/>
  <c r="K376"/>
  <c r="K377"/>
  <c r="K378"/>
  <c r="K379"/>
  <c r="K380"/>
  <c r="K381"/>
  <c r="K382"/>
  <c r="K383"/>
  <c r="K384"/>
  <c r="K385"/>
  <c r="K386"/>
  <c r="K387"/>
  <c r="K388"/>
  <c r="K389"/>
  <c r="K390"/>
  <c r="K391"/>
  <c r="K392"/>
  <c r="K393"/>
  <c r="K394"/>
  <c r="K395"/>
  <c r="K396"/>
  <c r="K397"/>
  <c r="K398"/>
  <c r="K399"/>
  <c r="K400"/>
  <c r="K401"/>
  <c r="K402"/>
  <c r="K403"/>
  <c r="K404"/>
  <c r="K405"/>
  <c r="K406"/>
  <c r="K407"/>
  <c r="K408"/>
  <c r="K409"/>
  <c r="K410"/>
  <c r="K411"/>
  <c r="K412"/>
  <c r="K413"/>
  <c r="K414"/>
  <c r="K415"/>
  <c r="K416"/>
  <c r="K417"/>
  <c r="K418"/>
  <c r="F39" i="65"/>
  <c r="F38" s="1"/>
  <c r="D39"/>
  <c r="D38" s="1"/>
  <c r="G482" i="19"/>
  <c r="G41" i="76"/>
  <c r="G121" i="19"/>
  <c r="G699" l="1"/>
  <c r="H389" i="76"/>
  <c r="H386" s="1"/>
  <c r="H385" s="1"/>
  <c r="L531" i="19"/>
  <c r="K530"/>
  <c r="G531" l="1"/>
  <c r="K531" s="1"/>
  <c r="H530"/>
  <c r="L530" s="1"/>
  <c r="G529"/>
  <c r="K529" s="1"/>
  <c r="H382" i="60"/>
  <c r="G546" i="19"/>
  <c r="G342" i="60"/>
  <c r="G414"/>
  <c r="G449" i="19"/>
  <c r="G448"/>
  <c r="G647"/>
  <c r="G645"/>
  <c r="G642"/>
  <c r="G526" l="1"/>
  <c r="H529"/>
  <c r="G486"/>
  <c r="G484"/>
  <c r="G637"/>
  <c r="G636"/>
  <c r="C111" i="29"/>
  <c r="L529" i="19" l="1"/>
  <c r="H526"/>
  <c r="H525" s="1"/>
  <c r="C17" i="21"/>
  <c r="G682" i="19"/>
  <c r="G112" l="1"/>
  <c r="G111"/>
  <c r="G766" l="1"/>
  <c r="H191" i="77"/>
  <c r="H193"/>
  <c r="H189" s="1"/>
  <c r="H188" s="1"/>
  <c r="G193"/>
  <c r="G192"/>
  <c r="G191"/>
  <c r="H307" i="60"/>
  <c r="H334"/>
  <c r="H335"/>
  <c r="G307"/>
  <c r="G334"/>
  <c r="G335"/>
  <c r="H295" i="77"/>
  <c r="H294" s="1"/>
  <c r="G295"/>
  <c r="G294" s="1"/>
  <c r="G501" i="76"/>
  <c r="G500" s="1"/>
  <c r="H206" i="60"/>
  <c r="H207"/>
  <c r="H208"/>
  <c r="H209"/>
  <c r="G209"/>
  <c r="G208" s="1"/>
  <c r="G207" s="1"/>
  <c r="G206" s="1"/>
  <c r="L282" i="19"/>
  <c r="L283"/>
  <c r="L284"/>
  <c r="L285"/>
  <c r="L286"/>
  <c r="G285"/>
  <c r="K285" s="1"/>
  <c r="G189" i="77" l="1"/>
  <c r="G188" s="1"/>
  <c r="G284" i="19"/>
  <c r="K284" s="1"/>
  <c r="G280" i="60"/>
  <c r="H280"/>
  <c r="H327"/>
  <c r="G283" i="19" l="1"/>
  <c r="G473" i="60"/>
  <c r="H498"/>
  <c r="H281"/>
  <c r="G281"/>
  <c r="H325"/>
  <c r="G325"/>
  <c r="G313"/>
  <c r="H383"/>
  <c r="G343"/>
  <c r="H403"/>
  <c r="H329"/>
  <c r="G317"/>
  <c r="G73" i="58"/>
  <c r="F73"/>
  <c r="G46"/>
  <c r="F46"/>
  <c r="G16"/>
  <c r="F16"/>
  <c r="G13"/>
  <c r="F13"/>
  <c r="D40" i="17" l="1"/>
  <c r="D39" s="1"/>
  <c r="K283" i="19"/>
  <c r="G12" i="58"/>
  <c r="F12"/>
  <c r="G282" i="19"/>
  <c r="K282" s="1"/>
  <c r="H397" i="60"/>
  <c r="H542"/>
  <c r="G542"/>
  <c r="E14" i="57"/>
  <c r="D14"/>
  <c r="H413" i="60"/>
  <c r="H412" s="1"/>
  <c r="G413"/>
  <c r="G412" s="1"/>
  <c r="D14" i="43" l="1"/>
  <c r="L523" i="19"/>
  <c r="L524"/>
  <c r="L525"/>
  <c r="L526"/>
  <c r="L527"/>
  <c r="L528"/>
  <c r="L535"/>
  <c r="L536"/>
  <c r="L539"/>
  <c r="L540"/>
  <c r="K520"/>
  <c r="K522"/>
  <c r="K524"/>
  <c r="K528"/>
  <c r="K536"/>
  <c r="K538"/>
  <c r="K540"/>
  <c r="G49" i="76"/>
  <c r="H49" s="1"/>
  <c r="H48" s="1"/>
  <c r="G270" i="19"/>
  <c r="K270" s="1"/>
  <c r="H271"/>
  <c r="L271" s="1"/>
  <c r="G248" i="76"/>
  <c r="G47"/>
  <c r="H47" s="1"/>
  <c r="H46" s="1"/>
  <c r="G268" i="19"/>
  <c r="K268" s="1"/>
  <c r="H269"/>
  <c r="L269" s="1"/>
  <c r="G255"/>
  <c r="H256"/>
  <c r="L256" s="1"/>
  <c r="G254" l="1"/>
  <c r="H270"/>
  <c r="H268"/>
  <c r="L268" s="1"/>
  <c r="G48" i="76"/>
  <c r="G46"/>
  <c r="H255" i="19"/>
  <c r="L270" l="1"/>
  <c r="H254"/>
  <c r="L254" s="1"/>
  <c r="L255"/>
  <c r="F14" i="43" l="1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E67"/>
  <c r="E47"/>
  <c r="E43"/>
  <c r="E38"/>
  <c r="E30"/>
  <c r="E28"/>
  <c r="E24"/>
  <c r="E19"/>
  <c r="E13"/>
  <c r="E12" s="1"/>
  <c r="E11" s="1"/>
  <c r="H239" i="60" l="1"/>
  <c r="G239"/>
  <c r="H238"/>
  <c r="G238"/>
  <c r="H237"/>
  <c r="G237"/>
  <c r="G319" i="19"/>
  <c r="G317"/>
  <c r="G452"/>
  <c r="G518"/>
  <c r="K518" s="1"/>
  <c r="G490"/>
  <c r="G506"/>
  <c r="G748"/>
  <c r="G498"/>
  <c r="K498" s="1"/>
  <c r="G514"/>
  <c r="K514" s="1"/>
  <c r="G720"/>
  <c r="K720" s="1"/>
  <c r="G138"/>
  <c r="K18"/>
  <c r="L18"/>
  <c r="K19"/>
  <c r="L19"/>
  <c r="K20"/>
  <c r="L20"/>
  <c r="K22"/>
  <c r="L22"/>
  <c r="K23"/>
  <c r="L23"/>
  <c r="K24"/>
  <c r="L24"/>
  <c r="K26"/>
  <c r="K27"/>
  <c r="K29"/>
  <c r="K30"/>
  <c r="L32"/>
  <c r="K33"/>
  <c r="L33"/>
  <c r="K37"/>
  <c r="L37"/>
  <c r="K38"/>
  <c r="L38"/>
  <c r="L40"/>
  <c r="K41"/>
  <c r="L41"/>
  <c r="K42"/>
  <c r="L42"/>
  <c r="K43"/>
  <c r="L43"/>
  <c r="K44"/>
  <c r="L44"/>
  <c r="L45"/>
  <c r="K46"/>
  <c r="L46"/>
  <c r="K47"/>
  <c r="L47"/>
  <c r="K48"/>
  <c r="L48"/>
  <c r="K49"/>
  <c r="L49"/>
  <c r="K51"/>
  <c r="K52"/>
  <c r="K54"/>
  <c r="K55"/>
  <c r="L61"/>
  <c r="L62"/>
  <c r="K63"/>
  <c r="L63"/>
  <c r="K64"/>
  <c r="L64"/>
  <c r="L65"/>
  <c r="K66"/>
  <c r="L66"/>
  <c r="K67"/>
  <c r="L67"/>
  <c r="K70"/>
  <c r="L70"/>
  <c r="K71"/>
  <c r="L71"/>
  <c r="L72"/>
  <c r="L73"/>
  <c r="K74"/>
  <c r="L74"/>
  <c r="K80"/>
  <c r="K85"/>
  <c r="L85"/>
  <c r="L93"/>
  <c r="L94"/>
  <c r="L95"/>
  <c r="L98"/>
  <c r="L99"/>
  <c r="L100"/>
  <c r="L104"/>
  <c r="L105"/>
  <c r="L106"/>
  <c r="L107"/>
  <c r="L108"/>
  <c r="L109"/>
  <c r="L113"/>
  <c r="L114"/>
  <c r="L115"/>
  <c r="L119"/>
  <c r="L120"/>
  <c r="L121"/>
  <c r="L128"/>
  <c r="L129"/>
  <c r="L130"/>
  <c r="L133"/>
  <c r="L140"/>
  <c r="L157"/>
  <c r="L159"/>
  <c r="L160"/>
  <c r="L168"/>
  <c r="L169"/>
  <c r="L174"/>
  <c r="L175"/>
  <c r="L176"/>
  <c r="L177"/>
  <c r="L194"/>
  <c r="L195"/>
  <c r="L204"/>
  <c r="L205"/>
  <c r="L206"/>
  <c r="L207"/>
  <c r="L210"/>
  <c r="L215"/>
  <c r="L216"/>
  <c r="L219"/>
  <c r="L220"/>
  <c r="L227"/>
  <c r="L228"/>
  <c r="L229"/>
  <c r="L230"/>
  <c r="L231"/>
  <c r="L232"/>
  <c r="L240"/>
  <c r="L241"/>
  <c r="L246"/>
  <c r="L247"/>
  <c r="L250"/>
  <c r="L251"/>
  <c r="L260"/>
  <c r="L262"/>
  <c r="L263"/>
  <c r="L267"/>
  <c r="L273"/>
  <c r="L280"/>
  <c r="L281"/>
  <c r="L289"/>
  <c r="L291"/>
  <c r="L292"/>
  <c r="L303"/>
  <c r="L310"/>
  <c r="L311"/>
  <c r="L334"/>
  <c r="L335"/>
  <c r="L336"/>
  <c r="L337"/>
  <c r="L342"/>
  <c r="L346"/>
  <c r="L354"/>
  <c r="L360"/>
  <c r="L366"/>
  <c r="L372"/>
  <c r="L373"/>
  <c r="L379"/>
  <c r="L380"/>
  <c r="L385"/>
  <c r="L386"/>
  <c r="L394"/>
  <c r="L395"/>
  <c r="L396"/>
  <c r="L397"/>
  <c r="L406"/>
  <c r="L414"/>
  <c r="L415"/>
  <c r="L416"/>
  <c r="L418"/>
  <c r="K420"/>
  <c r="L421"/>
  <c r="K422"/>
  <c r="L422"/>
  <c r="K424"/>
  <c r="L425"/>
  <c r="K426"/>
  <c r="L426"/>
  <c r="K428"/>
  <c r="L429"/>
  <c r="L430"/>
  <c r="L431"/>
  <c r="K432"/>
  <c r="L432"/>
  <c r="L436"/>
  <c r="L437"/>
  <c r="K438"/>
  <c r="L438"/>
  <c r="K441"/>
  <c r="L442"/>
  <c r="K443"/>
  <c r="L443"/>
  <c r="K444"/>
  <c r="L444"/>
  <c r="L447"/>
  <c r="L448"/>
  <c r="L449"/>
  <c r="K451"/>
  <c r="K452"/>
  <c r="K454"/>
  <c r="K455"/>
  <c r="K457"/>
  <c r="K458"/>
  <c r="L459"/>
  <c r="L460"/>
  <c r="L461"/>
  <c r="K462"/>
  <c r="L462"/>
  <c r="K463"/>
  <c r="L463"/>
  <c r="K467"/>
  <c r="L468"/>
  <c r="K469"/>
  <c r="L469"/>
  <c r="L470"/>
  <c r="L471"/>
  <c r="K472"/>
  <c r="L472"/>
  <c r="K473"/>
  <c r="L473"/>
  <c r="L474"/>
  <c r="L475"/>
  <c r="L476"/>
  <c r="K477"/>
  <c r="L477"/>
  <c r="L482"/>
  <c r="K484"/>
  <c r="L485"/>
  <c r="K486"/>
  <c r="L486"/>
  <c r="K488"/>
  <c r="K490"/>
  <c r="K492"/>
  <c r="K494"/>
  <c r="L495"/>
  <c r="K496"/>
  <c r="L496"/>
  <c r="K500"/>
  <c r="L500"/>
  <c r="K502"/>
  <c r="K504"/>
  <c r="L504"/>
  <c r="K506"/>
  <c r="L507"/>
  <c r="K508"/>
  <c r="L508"/>
  <c r="K510"/>
  <c r="L511"/>
  <c r="K512"/>
  <c r="L512"/>
  <c r="L515"/>
  <c r="K516"/>
  <c r="L516"/>
  <c r="L541"/>
  <c r="L542"/>
  <c r="K543"/>
  <c r="L543"/>
  <c r="L544"/>
  <c r="L545"/>
  <c r="K546"/>
  <c r="L546"/>
  <c r="L547"/>
  <c r="L548"/>
  <c r="L549"/>
  <c r="K550"/>
  <c r="L550"/>
  <c r="K553"/>
  <c r="K554"/>
  <c r="L554"/>
  <c r="K560"/>
  <c r="K562"/>
  <c r="L562"/>
  <c r="L563"/>
  <c r="K564"/>
  <c r="L564"/>
  <c r="L568"/>
  <c r="K570"/>
  <c r="L573"/>
  <c r="L574"/>
  <c r="K575"/>
  <c r="L575"/>
  <c r="L576"/>
  <c r="L577"/>
  <c r="K578"/>
  <c r="L578"/>
  <c r="L583"/>
  <c r="K585"/>
  <c r="K587"/>
  <c r="K588"/>
  <c r="K590"/>
  <c r="L590"/>
  <c r="K591"/>
  <c r="L591"/>
  <c r="K593"/>
  <c r="K594"/>
  <c r="L595"/>
  <c r="K596"/>
  <c r="L596"/>
  <c r="K598"/>
  <c r="K599"/>
  <c r="K600"/>
  <c r="L601"/>
  <c r="L602"/>
  <c r="K603"/>
  <c r="L603"/>
  <c r="L604"/>
  <c r="L605"/>
  <c r="K606"/>
  <c r="L606"/>
  <c r="K609"/>
  <c r="L611"/>
  <c r="K614"/>
  <c r="L614"/>
  <c r="K618"/>
  <c r="L618"/>
  <c r="K622"/>
  <c r="K625"/>
  <c r="L625"/>
  <c r="K626"/>
  <c r="L626"/>
  <c r="K629"/>
  <c r="L629"/>
  <c r="K630"/>
  <c r="L630"/>
  <c r="K636"/>
  <c r="L636"/>
  <c r="K637"/>
  <c r="L637"/>
  <c r="K639"/>
  <c r="K640"/>
  <c r="K642"/>
  <c r="L642"/>
  <c r="K643"/>
  <c r="L643"/>
  <c r="K644"/>
  <c r="L644"/>
  <c r="K645"/>
  <c r="L645"/>
  <c r="K646"/>
  <c r="L646"/>
  <c r="L647"/>
  <c r="K648"/>
  <c r="L648"/>
  <c r="K649"/>
  <c r="L649"/>
  <c r="K650"/>
  <c r="L650"/>
  <c r="K652"/>
  <c r="K653"/>
  <c r="K655"/>
  <c r="K656"/>
  <c r="K658"/>
  <c r="K659"/>
  <c r="K661"/>
  <c r="K662"/>
  <c r="K664"/>
  <c r="L664"/>
  <c r="K665"/>
  <c r="L665"/>
  <c r="L666"/>
  <c r="L667"/>
  <c r="L668"/>
  <c r="K669"/>
  <c r="L669"/>
  <c r="K674"/>
  <c r="K677"/>
  <c r="L682"/>
  <c r="K683"/>
  <c r="L683"/>
  <c r="K685"/>
  <c r="L686"/>
  <c r="K687"/>
  <c r="L687"/>
  <c r="K689"/>
  <c r="L690"/>
  <c r="K691"/>
  <c r="L691"/>
  <c r="K693"/>
  <c r="K694"/>
  <c r="L694"/>
  <c r="K695"/>
  <c r="L695"/>
  <c r="L699"/>
  <c r="K701"/>
  <c r="L702"/>
  <c r="K703"/>
  <c r="L703"/>
  <c r="L706"/>
  <c r="K710"/>
  <c r="L710"/>
  <c r="K712"/>
  <c r="L713"/>
  <c r="K714"/>
  <c r="L714"/>
  <c r="K722"/>
  <c r="L722"/>
  <c r="K728"/>
  <c r="L728"/>
  <c r="K729"/>
  <c r="L729"/>
  <c r="K730"/>
  <c r="L730"/>
  <c r="K731"/>
  <c r="L731"/>
  <c r="K733"/>
  <c r="K734"/>
  <c r="K736"/>
  <c r="K737"/>
  <c r="K740"/>
  <c r="L740"/>
  <c r="L741"/>
  <c r="K742"/>
  <c r="L742"/>
  <c r="K743"/>
  <c r="L743"/>
  <c r="K746"/>
  <c r="L746"/>
  <c r="K748"/>
  <c r="K754"/>
  <c r="L755"/>
  <c r="K756"/>
  <c r="L756"/>
  <c r="K759"/>
  <c r="L759"/>
  <c r="G708"/>
  <c r="K708" s="1"/>
  <c r="G392"/>
  <c r="J762"/>
  <c r="J758"/>
  <c r="J757" s="1"/>
  <c r="I758"/>
  <c r="I757" s="1"/>
  <c r="I755"/>
  <c r="J754"/>
  <c r="J753" s="1"/>
  <c r="I753"/>
  <c r="I752" s="1"/>
  <c r="I751" s="1"/>
  <c r="I750" s="1"/>
  <c r="J748"/>
  <c r="J747" s="1"/>
  <c r="J745" s="1"/>
  <c r="J744" s="1"/>
  <c r="I747"/>
  <c r="I745" s="1"/>
  <c r="I744" s="1"/>
  <c r="I741"/>
  <c r="J739"/>
  <c r="J738" s="1"/>
  <c r="I739"/>
  <c r="I738"/>
  <c r="J737"/>
  <c r="J736"/>
  <c r="I735"/>
  <c r="J734"/>
  <c r="J733"/>
  <c r="I732"/>
  <c r="J727"/>
  <c r="I727"/>
  <c r="I726" s="1"/>
  <c r="I725" s="1"/>
  <c r="I724" s="1"/>
  <c r="J721"/>
  <c r="I721"/>
  <c r="J720"/>
  <c r="J719" s="1"/>
  <c r="I719"/>
  <c r="I713"/>
  <c r="J712"/>
  <c r="J711" s="1"/>
  <c r="I711"/>
  <c r="J709"/>
  <c r="I709"/>
  <c r="J708"/>
  <c r="J707" s="1"/>
  <c r="I707"/>
  <c r="I706"/>
  <c r="I702"/>
  <c r="J701"/>
  <c r="J700" s="1"/>
  <c r="J698" s="1"/>
  <c r="J697" s="1"/>
  <c r="I700"/>
  <c r="I699"/>
  <c r="J693"/>
  <c r="J692" s="1"/>
  <c r="I692"/>
  <c r="I690"/>
  <c r="J689"/>
  <c r="J688" s="1"/>
  <c r="I688"/>
  <c r="I686"/>
  <c r="J685"/>
  <c r="J684" s="1"/>
  <c r="I684"/>
  <c r="I682"/>
  <c r="I681" s="1"/>
  <c r="J681"/>
  <c r="J677"/>
  <c r="J676" s="1"/>
  <c r="J675" s="1"/>
  <c r="I676"/>
  <c r="I675" s="1"/>
  <c r="J674"/>
  <c r="I673"/>
  <c r="I672" s="1"/>
  <c r="I668"/>
  <c r="I667" s="1"/>
  <c r="I666" s="1"/>
  <c r="J663"/>
  <c r="I663"/>
  <c r="J662"/>
  <c r="J661"/>
  <c r="I660"/>
  <c r="J659"/>
  <c r="J658"/>
  <c r="I657"/>
  <c r="J656"/>
  <c r="J655"/>
  <c r="I654"/>
  <c r="J653"/>
  <c r="J652"/>
  <c r="I651"/>
  <c r="I647"/>
  <c r="I641" s="1"/>
  <c r="J641"/>
  <c r="J640"/>
  <c r="J639"/>
  <c r="I638"/>
  <c r="J635"/>
  <c r="J634" s="1"/>
  <c r="I635"/>
  <c r="I634" s="1"/>
  <c r="J628"/>
  <c r="J627" s="1"/>
  <c r="I628"/>
  <c r="I627" s="1"/>
  <c r="J624"/>
  <c r="J623" s="1"/>
  <c r="I624"/>
  <c r="I623" s="1"/>
  <c r="J622"/>
  <c r="J621" s="1"/>
  <c r="J620" s="1"/>
  <c r="I621"/>
  <c r="I620" s="1"/>
  <c r="J617"/>
  <c r="J616" s="1"/>
  <c r="J615" s="1"/>
  <c r="I617"/>
  <c r="I616" s="1"/>
  <c r="I615" s="1"/>
  <c r="J613"/>
  <c r="J612" s="1"/>
  <c r="I613"/>
  <c r="I612" s="1"/>
  <c r="I611" s="1"/>
  <c r="J609"/>
  <c r="J608" s="1"/>
  <c r="J607" s="1"/>
  <c r="I608"/>
  <c r="I607" s="1"/>
  <c r="I605"/>
  <c r="I604" s="1"/>
  <c r="I602"/>
  <c r="I601" s="1"/>
  <c r="J600"/>
  <c r="J599"/>
  <c r="J598"/>
  <c r="I597"/>
  <c r="I595"/>
  <c r="J594"/>
  <c r="J593"/>
  <c r="I592"/>
  <c r="J589"/>
  <c r="I589"/>
  <c r="J588"/>
  <c r="J587"/>
  <c r="I586"/>
  <c r="J585"/>
  <c r="J584" s="1"/>
  <c r="I584"/>
  <c r="I583"/>
  <c r="I577"/>
  <c r="I576" s="1"/>
  <c r="I574"/>
  <c r="I573" s="1"/>
  <c r="I572"/>
  <c r="J572" s="1"/>
  <c r="J571" s="1"/>
  <c r="J570"/>
  <c r="J569" s="1"/>
  <c r="I569"/>
  <c r="I568"/>
  <c r="I567" s="1"/>
  <c r="J567"/>
  <c r="I566"/>
  <c r="J566" s="1"/>
  <c r="J565" s="1"/>
  <c r="I565"/>
  <c r="I563"/>
  <c r="J561"/>
  <c r="I561"/>
  <c r="J560"/>
  <c r="J559" s="1"/>
  <c r="I559"/>
  <c r="J553"/>
  <c r="J552" s="1"/>
  <c r="J551" s="1"/>
  <c r="I552"/>
  <c r="I551" s="1"/>
  <c r="I549"/>
  <c r="I548" s="1"/>
  <c r="I547" s="1"/>
  <c r="I545"/>
  <c r="I544" s="1"/>
  <c r="I542"/>
  <c r="I541" s="1"/>
  <c r="I539"/>
  <c r="J538"/>
  <c r="J537" s="1"/>
  <c r="J534" s="1"/>
  <c r="J533" s="1"/>
  <c r="I537"/>
  <c r="I535"/>
  <c r="I527"/>
  <c r="I526"/>
  <c r="I525" s="1"/>
  <c r="I523"/>
  <c r="J522"/>
  <c r="J521" s="1"/>
  <c r="I521"/>
  <c r="J520"/>
  <c r="J519" s="1"/>
  <c r="I519"/>
  <c r="J518"/>
  <c r="J517" s="1"/>
  <c r="I517"/>
  <c r="I515"/>
  <c r="J514"/>
  <c r="J513" s="1"/>
  <c r="I513"/>
  <c r="I511"/>
  <c r="J510"/>
  <c r="J509" s="1"/>
  <c r="I509"/>
  <c r="I507"/>
  <c r="J506"/>
  <c r="J505" s="1"/>
  <c r="I505"/>
  <c r="J503"/>
  <c r="I503"/>
  <c r="J502"/>
  <c r="J501" s="1"/>
  <c r="I501"/>
  <c r="J499"/>
  <c r="I499"/>
  <c r="J498"/>
  <c r="J497" s="1"/>
  <c r="I497"/>
  <c r="I495"/>
  <c r="J494"/>
  <c r="J493" s="1"/>
  <c r="I493"/>
  <c r="J492"/>
  <c r="J491" s="1"/>
  <c r="I491"/>
  <c r="J490"/>
  <c r="J489" s="1"/>
  <c r="I489"/>
  <c r="J488"/>
  <c r="J487" s="1"/>
  <c r="I487"/>
  <c r="I485"/>
  <c r="J484"/>
  <c r="J483" s="1"/>
  <c r="I483"/>
  <c r="I482"/>
  <c r="I476"/>
  <c r="I475" s="1"/>
  <c r="I474" s="1"/>
  <c r="I471"/>
  <c r="I470" s="1"/>
  <c r="I468"/>
  <c r="J467"/>
  <c r="I466"/>
  <c r="J466" s="1"/>
  <c r="J465" s="1"/>
  <c r="J464" s="1"/>
  <c r="I461"/>
  <c r="I460"/>
  <c r="I459" s="1"/>
  <c r="J458"/>
  <c r="J457"/>
  <c r="I456"/>
  <c r="J455"/>
  <c r="J454"/>
  <c r="I453"/>
  <c r="J452"/>
  <c r="J451"/>
  <c r="I450"/>
  <c r="I449"/>
  <c r="I448"/>
  <c r="I447" s="1"/>
  <c r="I442"/>
  <c r="I440" s="1"/>
  <c r="I439" s="1"/>
  <c r="J441"/>
  <c r="J440" s="1"/>
  <c r="J439" s="1"/>
  <c r="I437"/>
  <c r="I436" s="1"/>
  <c r="I431"/>
  <c r="I430" s="1"/>
  <c r="I429" s="1"/>
  <c r="J428"/>
  <c r="J427" s="1"/>
  <c r="I427"/>
  <c r="I425"/>
  <c r="J424"/>
  <c r="I423"/>
  <c r="J423" s="1"/>
  <c r="I421"/>
  <c r="J420"/>
  <c r="J419" s="1"/>
  <c r="I419"/>
  <c r="I415"/>
  <c r="J413"/>
  <c r="I413"/>
  <c r="J412"/>
  <c r="J411" s="1"/>
  <c r="I411"/>
  <c r="J408"/>
  <c r="J407" s="1"/>
  <c r="I407"/>
  <c r="J405"/>
  <c r="I405"/>
  <c r="J404"/>
  <c r="J403" s="1"/>
  <c r="I403"/>
  <c r="J402"/>
  <c r="J401" s="1"/>
  <c r="I401"/>
  <c r="J400"/>
  <c r="J399" s="1"/>
  <c r="I399"/>
  <c r="I396"/>
  <c r="I395" s="1"/>
  <c r="J393"/>
  <c r="I393"/>
  <c r="J392"/>
  <c r="J391" s="1"/>
  <c r="I391"/>
  <c r="J388"/>
  <c r="J387" s="1"/>
  <c r="J384" s="1"/>
  <c r="J383" s="1"/>
  <c r="I387"/>
  <c r="I384" s="1"/>
  <c r="I383" s="1"/>
  <c r="I385"/>
  <c r="J382"/>
  <c r="J381" s="1"/>
  <c r="J378" s="1"/>
  <c r="I381"/>
  <c r="I379"/>
  <c r="J377"/>
  <c r="J376" s="1"/>
  <c r="I376"/>
  <c r="J375"/>
  <c r="J374" s="1"/>
  <c r="I374"/>
  <c r="I372"/>
  <c r="J368"/>
  <c r="I367"/>
  <c r="J367" s="1"/>
  <c r="J364" s="1"/>
  <c r="J365"/>
  <c r="I365"/>
  <c r="J359"/>
  <c r="I359"/>
  <c r="J358"/>
  <c r="J357" s="1"/>
  <c r="I357"/>
  <c r="J356"/>
  <c r="J355" s="1"/>
  <c r="I355"/>
  <c r="I354"/>
  <c r="I353" s="1"/>
  <c r="J353"/>
  <c r="J349"/>
  <c r="J348"/>
  <c r="I347"/>
  <c r="J345"/>
  <c r="J344" s="1"/>
  <c r="I344"/>
  <c r="J343"/>
  <c r="J341" s="1"/>
  <c r="I341"/>
  <c r="J333"/>
  <c r="J332" s="1"/>
  <c r="J331" s="1"/>
  <c r="I333"/>
  <c r="I332" s="1"/>
  <c r="I331" s="1"/>
  <c r="J329"/>
  <c r="I328"/>
  <c r="J328" s="1"/>
  <c r="I327"/>
  <c r="J327" s="1"/>
  <c r="J325"/>
  <c r="I324"/>
  <c r="J324" s="1"/>
  <c r="J323"/>
  <c r="I322"/>
  <c r="J322" s="1"/>
  <c r="I320"/>
  <c r="J320" s="1"/>
  <c r="I319"/>
  <c r="J319" s="1"/>
  <c r="I318"/>
  <c r="J318" s="1"/>
  <c r="I317"/>
  <c r="J317" s="1"/>
  <c r="I310"/>
  <c r="J309"/>
  <c r="J308" s="1"/>
  <c r="J307" s="1"/>
  <c r="J306" s="1"/>
  <c r="J305" s="1"/>
  <c r="J304" s="1"/>
  <c r="I308"/>
  <c r="J302"/>
  <c r="J301" s="1"/>
  <c r="I302"/>
  <c r="I301" s="1"/>
  <c r="J300"/>
  <c r="J299" s="1"/>
  <c r="J298" s="1"/>
  <c r="I299"/>
  <c r="I298" s="1"/>
  <c r="J297"/>
  <c r="J296"/>
  <c r="I295"/>
  <c r="I294" s="1"/>
  <c r="I293" s="1"/>
  <c r="I291"/>
  <c r="J288"/>
  <c r="I288"/>
  <c r="J279"/>
  <c r="J278" s="1"/>
  <c r="I278"/>
  <c r="J277"/>
  <c r="J276" s="1"/>
  <c r="I276"/>
  <c r="J275"/>
  <c r="J274" s="1"/>
  <c r="I274"/>
  <c r="I272"/>
  <c r="J266"/>
  <c r="I266"/>
  <c r="J265"/>
  <c r="J264" s="1"/>
  <c r="I264"/>
  <c r="I262"/>
  <c r="I261" s="1"/>
  <c r="J261"/>
  <c r="I260"/>
  <c r="I259" s="1"/>
  <c r="J259"/>
  <c r="I250"/>
  <c r="J249"/>
  <c r="J248" s="1"/>
  <c r="I248"/>
  <c r="J245"/>
  <c r="I245"/>
  <c r="I241"/>
  <c r="J239"/>
  <c r="I239"/>
  <c r="J238"/>
  <c r="J237" s="1"/>
  <c r="I237"/>
  <c r="I231"/>
  <c r="I230" s="1"/>
  <c r="I229" s="1"/>
  <c r="I228" s="1"/>
  <c r="I227" s="1"/>
  <c r="J226"/>
  <c r="J225"/>
  <c r="I224"/>
  <c r="I223" s="1"/>
  <c r="I222" s="1"/>
  <c r="I221" s="1"/>
  <c r="I219"/>
  <c r="J218"/>
  <c r="J217" s="1"/>
  <c r="I217"/>
  <c r="J214"/>
  <c r="I214"/>
  <c r="I210"/>
  <c r="I209" s="1"/>
  <c r="I208" s="1"/>
  <c r="J209"/>
  <c r="J208" s="1"/>
  <c r="I206"/>
  <c r="I205" s="1"/>
  <c r="J203"/>
  <c r="J202" s="1"/>
  <c r="I203"/>
  <c r="I202" s="1"/>
  <c r="J200"/>
  <c r="J199"/>
  <c r="I198"/>
  <c r="J197"/>
  <c r="J196" s="1"/>
  <c r="I196"/>
  <c r="I194"/>
  <c r="J191"/>
  <c r="J190"/>
  <c r="I189"/>
  <c r="J188"/>
  <c r="J187" s="1"/>
  <c r="I187"/>
  <c r="J186"/>
  <c r="J185"/>
  <c r="I184"/>
  <c r="J183"/>
  <c r="J182" s="1"/>
  <c r="I182"/>
  <c r="I175"/>
  <c r="J173"/>
  <c r="J172" s="1"/>
  <c r="J171" s="1"/>
  <c r="J170" s="1"/>
  <c r="I173"/>
  <c r="I172" s="1"/>
  <c r="I171" s="1"/>
  <c r="I170" s="1"/>
  <c r="I168"/>
  <c r="J167"/>
  <c r="J166" s="1"/>
  <c r="J165" s="1"/>
  <c r="I166"/>
  <c r="J164"/>
  <c r="J163" s="1"/>
  <c r="I163"/>
  <c r="J162"/>
  <c r="J161" s="1"/>
  <c r="I161"/>
  <c r="J155"/>
  <c r="I154"/>
  <c r="J154" s="1"/>
  <c r="I153"/>
  <c r="J153" s="1"/>
  <c r="J151"/>
  <c r="I150"/>
  <c r="J150" s="1"/>
  <c r="J149"/>
  <c r="I148"/>
  <c r="J148" s="1"/>
  <c r="J146"/>
  <c r="J145"/>
  <c r="J144"/>
  <c r="I143"/>
  <c r="J139"/>
  <c r="I139"/>
  <c r="J138"/>
  <c r="J137" s="1"/>
  <c r="I137"/>
  <c r="J132"/>
  <c r="J131" s="1"/>
  <c r="I132"/>
  <c r="I131" s="1"/>
  <c r="I129"/>
  <c r="I128" s="1"/>
  <c r="J127"/>
  <c r="J126" s="1"/>
  <c r="J125" s="1"/>
  <c r="J124" s="1"/>
  <c r="J123" s="1"/>
  <c r="J122" s="1"/>
  <c r="I126"/>
  <c r="I125" s="1"/>
  <c r="I124" s="1"/>
  <c r="I123" s="1"/>
  <c r="I122" s="1"/>
  <c r="I120"/>
  <c r="I119" s="1"/>
  <c r="J118"/>
  <c r="J117"/>
  <c r="I116"/>
  <c r="I113"/>
  <c r="J112"/>
  <c r="J111"/>
  <c r="I110"/>
  <c r="I104"/>
  <c r="I98"/>
  <c r="I97" s="1"/>
  <c r="J97"/>
  <c r="J92"/>
  <c r="J91" s="1"/>
  <c r="J90" s="1"/>
  <c r="J89" s="1"/>
  <c r="J88" s="1"/>
  <c r="I92"/>
  <c r="I91" s="1"/>
  <c r="I90" s="1"/>
  <c r="I89" s="1"/>
  <c r="I88" s="1"/>
  <c r="J84"/>
  <c r="J83" s="1"/>
  <c r="J82" s="1"/>
  <c r="J81" s="1"/>
  <c r="I84"/>
  <c r="I83" s="1"/>
  <c r="I82" s="1"/>
  <c r="I81" s="1"/>
  <c r="J80"/>
  <c r="J79" s="1"/>
  <c r="I79"/>
  <c r="I77" s="1"/>
  <c r="I76" s="1"/>
  <c r="I73"/>
  <c r="I72" s="1"/>
  <c r="J69"/>
  <c r="J68" s="1"/>
  <c r="I69"/>
  <c r="I68" s="1"/>
  <c r="I65"/>
  <c r="I62"/>
  <c r="J60"/>
  <c r="J59" s="1"/>
  <c r="J55"/>
  <c r="J54"/>
  <c r="I53"/>
  <c r="J52"/>
  <c r="J51"/>
  <c r="I50"/>
  <c r="I45"/>
  <c r="I40"/>
  <c r="I39" s="1"/>
  <c r="J39"/>
  <c r="J36"/>
  <c r="I36"/>
  <c r="I35" s="1"/>
  <c r="I32"/>
  <c r="I31" s="1"/>
  <c r="J31"/>
  <c r="J30"/>
  <c r="J29"/>
  <c r="I28"/>
  <c r="J27"/>
  <c r="J26"/>
  <c r="I25"/>
  <c r="J25" s="1"/>
  <c r="J16" s="1"/>
  <c r="J21"/>
  <c r="I21"/>
  <c r="J17"/>
  <c r="I17"/>
  <c r="J58" l="1"/>
  <c r="J57" s="1"/>
  <c r="J35"/>
  <c r="J410"/>
  <c r="J409" s="1"/>
  <c r="J417"/>
  <c r="I723"/>
  <c r="J110"/>
  <c r="J103" s="1"/>
  <c r="J102" s="1"/>
  <c r="J101" s="1"/>
  <c r="J96" s="1"/>
  <c r="J116"/>
  <c r="I364"/>
  <c r="I363" s="1"/>
  <c r="I398"/>
  <c r="I378"/>
  <c r="I78"/>
  <c r="I352"/>
  <c r="I351" s="1"/>
  <c r="I350" s="1"/>
  <c r="I534"/>
  <c r="I533" s="1"/>
  <c r="J136"/>
  <c r="J135" s="1"/>
  <c r="I165"/>
  <c r="J198"/>
  <c r="J50"/>
  <c r="J586"/>
  <c r="I61"/>
  <c r="I60" s="1"/>
  <c r="I59" s="1"/>
  <c r="I58" s="1"/>
  <c r="I57" s="1"/>
  <c r="I75"/>
  <c r="I136"/>
  <c r="I135" s="1"/>
  <c r="I410"/>
  <c r="I409" s="1"/>
  <c r="I718"/>
  <c r="I717" s="1"/>
  <c r="I716" s="1"/>
  <c r="J236"/>
  <c r="J235" s="1"/>
  <c r="J234" s="1"/>
  <c r="I244"/>
  <c r="I243" s="1"/>
  <c r="I242" s="1"/>
  <c r="J326"/>
  <c r="I465"/>
  <c r="I464" s="1"/>
  <c r="J718"/>
  <c r="J717" s="1"/>
  <c r="J716" s="1"/>
  <c r="J143"/>
  <c r="J224"/>
  <c r="J223" s="1"/>
  <c r="J222" s="1"/>
  <c r="J221" s="1"/>
  <c r="J592"/>
  <c r="I446"/>
  <c r="I158"/>
  <c r="I156" s="1"/>
  <c r="J28"/>
  <c r="J15" s="1"/>
  <c r="I34"/>
  <c r="I481"/>
  <c r="I480" s="1"/>
  <c r="I582"/>
  <c r="I581" s="1"/>
  <c r="I580" s="1"/>
  <c r="I579" s="1"/>
  <c r="I16"/>
  <c r="I15" s="1"/>
  <c r="I290"/>
  <c r="I417"/>
  <c r="J481"/>
  <c r="J480" s="1"/>
  <c r="J479" s="1"/>
  <c r="J478" s="1"/>
  <c r="J660"/>
  <c r="I698"/>
  <c r="I697" s="1"/>
  <c r="I749"/>
  <c r="I193"/>
  <c r="I192" s="1"/>
  <c r="J680"/>
  <c r="J679" s="1"/>
  <c r="I181"/>
  <c r="I180" s="1"/>
  <c r="J295"/>
  <c r="J294" s="1"/>
  <c r="J293" s="1"/>
  <c r="J290" s="1"/>
  <c r="I340"/>
  <c r="I339" s="1"/>
  <c r="I338" s="1"/>
  <c r="I330" s="1"/>
  <c r="I362"/>
  <c r="I361" s="1"/>
  <c r="J371"/>
  <c r="I390"/>
  <c r="I389"/>
  <c r="J450"/>
  <c r="I705"/>
  <c r="I704" s="1"/>
  <c r="I696" s="1"/>
  <c r="J705"/>
  <c r="J704" s="1"/>
  <c r="J696" s="1"/>
  <c r="J147"/>
  <c r="J184"/>
  <c r="I258"/>
  <c r="I257" s="1"/>
  <c r="I253" s="1"/>
  <c r="I316"/>
  <c r="J347"/>
  <c r="J340" s="1"/>
  <c r="J339" s="1"/>
  <c r="J338" s="1"/>
  <c r="I371"/>
  <c r="J456"/>
  <c r="J638"/>
  <c r="J654"/>
  <c r="J657"/>
  <c r="I680"/>
  <c r="I679" s="1"/>
  <c r="J735"/>
  <c r="J53"/>
  <c r="I103"/>
  <c r="I102" s="1"/>
  <c r="I101" s="1"/>
  <c r="J152"/>
  <c r="J189"/>
  <c r="J193"/>
  <c r="J192" s="1"/>
  <c r="J213"/>
  <c r="J212" s="1"/>
  <c r="J211" s="1"/>
  <c r="I213"/>
  <c r="I212" s="1"/>
  <c r="I211" s="1"/>
  <c r="I201" s="1"/>
  <c r="I236"/>
  <c r="I235" s="1"/>
  <c r="I234" s="1"/>
  <c r="I233" s="1"/>
  <c r="J244"/>
  <c r="J243" s="1"/>
  <c r="J242" s="1"/>
  <c r="J258"/>
  <c r="J257" s="1"/>
  <c r="I307"/>
  <c r="I306" s="1"/>
  <c r="I305" s="1"/>
  <c r="I304" s="1"/>
  <c r="J321"/>
  <c r="J453"/>
  <c r="J597"/>
  <c r="I633"/>
  <c r="I632" s="1"/>
  <c r="I631" s="1"/>
  <c r="J651"/>
  <c r="J732"/>
  <c r="J726" s="1"/>
  <c r="J725" s="1"/>
  <c r="J724" s="1"/>
  <c r="J723" s="1"/>
  <c r="J715" s="1"/>
  <c r="I619"/>
  <c r="J619"/>
  <c r="J77"/>
  <c r="J76" s="1"/>
  <c r="J75" s="1"/>
  <c r="J56" s="1"/>
  <c r="J78"/>
  <c r="I56"/>
  <c r="J158"/>
  <c r="J156" s="1"/>
  <c r="J390"/>
  <c r="J389"/>
  <c r="J362"/>
  <c r="J361" s="1"/>
  <c r="J363"/>
  <c r="I670"/>
  <c r="I671"/>
  <c r="J752"/>
  <c r="J751" s="1"/>
  <c r="J750"/>
  <c r="J749" s="1"/>
  <c r="I96"/>
  <c r="J272"/>
  <c r="J352"/>
  <c r="J351" s="1"/>
  <c r="J350" s="1"/>
  <c r="J558"/>
  <c r="J557" s="1"/>
  <c r="J556" s="1"/>
  <c r="J555" s="1"/>
  <c r="J316"/>
  <c r="J398"/>
  <c r="I715"/>
  <c r="J673"/>
  <c r="J672" s="1"/>
  <c r="I147"/>
  <c r="I152"/>
  <c r="I321"/>
  <c r="I326"/>
  <c r="I571"/>
  <c r="I558" s="1"/>
  <c r="I557" s="1"/>
  <c r="I556" s="1"/>
  <c r="I555" s="1"/>
  <c r="I252" l="1"/>
  <c r="I479"/>
  <c r="I478" s="1"/>
  <c r="I14"/>
  <c r="I13" s="1"/>
  <c r="J181"/>
  <c r="J180" s="1"/>
  <c r="J179" s="1"/>
  <c r="J582"/>
  <c r="J581" s="1"/>
  <c r="J580" s="1"/>
  <c r="J579" s="1"/>
  <c r="J315"/>
  <c r="J314" s="1"/>
  <c r="J313" s="1"/>
  <c r="J201"/>
  <c r="J233"/>
  <c r="J34"/>
  <c r="J14" s="1"/>
  <c r="J13" s="1"/>
  <c r="J253"/>
  <c r="J252" s="1"/>
  <c r="I179"/>
  <c r="I142"/>
  <c r="I141" s="1"/>
  <c r="I134" s="1"/>
  <c r="I87" s="1"/>
  <c r="J370"/>
  <c r="J369" s="1"/>
  <c r="I445"/>
  <c r="I435" s="1"/>
  <c r="J633"/>
  <c r="J632" s="1"/>
  <c r="J631" s="1"/>
  <c r="J610" s="1"/>
  <c r="I370"/>
  <c r="I369" s="1"/>
  <c r="I312"/>
  <c r="I287" s="1"/>
  <c r="I610"/>
  <c r="J142"/>
  <c r="J141" s="1"/>
  <c r="J134" s="1"/>
  <c r="J87" s="1"/>
  <c r="J330"/>
  <c r="I678"/>
  <c r="J446"/>
  <c r="J445" s="1"/>
  <c r="J435" s="1"/>
  <c r="J178"/>
  <c r="J678"/>
  <c r="J670"/>
  <c r="J671"/>
  <c r="I315"/>
  <c r="I314" s="1"/>
  <c r="I313" s="1"/>
  <c r="J312"/>
  <c r="J287" s="1"/>
  <c r="I178"/>
  <c r="I434" l="1"/>
  <c r="I433" s="1"/>
  <c r="I86"/>
  <c r="J434"/>
  <c r="J433" s="1"/>
  <c r="J86"/>
  <c r="I760" l="1"/>
  <c r="J760"/>
  <c r="I14" i="58"/>
  <c r="I15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4"/>
  <c r="I75"/>
  <c r="I76"/>
  <c r="I77"/>
  <c r="I78"/>
  <c r="H14"/>
  <c r="H15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4"/>
  <c r="H75"/>
  <c r="H76"/>
  <c r="H77"/>
  <c r="H78"/>
  <c r="F13" i="15"/>
  <c r="F14"/>
  <c r="F15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6"/>
  <c r="F87"/>
  <c r="F88"/>
  <c r="F89"/>
  <c r="F90"/>
  <c r="F91"/>
  <c r="E112"/>
  <c r="E100"/>
  <c r="E85"/>
  <c r="E58"/>
  <c r="E16"/>
  <c r="E12"/>
  <c r="E11" l="1"/>
  <c r="H385" i="60"/>
  <c r="G90" i="29"/>
  <c r="H90"/>
  <c r="G272" i="19"/>
  <c r="K272" s="1"/>
  <c r="H758"/>
  <c r="H757" l="1"/>
  <c r="L757" s="1"/>
  <c r="L758"/>
  <c r="G274"/>
  <c r="K274" s="1"/>
  <c r="H203"/>
  <c r="G311" i="60"/>
  <c r="H202" i="19" l="1"/>
  <c r="L202" s="1"/>
  <c r="L203"/>
  <c r="C119" i="66"/>
  <c r="C95"/>
  <c r="C82"/>
  <c r="C101" i="29"/>
  <c r="C88"/>
  <c r="H323" i="60" l="1"/>
  <c r="H324"/>
  <c r="G312"/>
  <c r="G92" i="77" l="1"/>
  <c r="G91" s="1"/>
  <c r="G164"/>
  <c r="G182"/>
  <c r="H162" i="60" l="1"/>
  <c r="H228" i="77"/>
  <c r="H199"/>
  <c r="G514" i="60"/>
  <c r="G512"/>
  <c r="G511" s="1"/>
  <c r="H517"/>
  <c r="H516" s="1"/>
  <c r="H509" s="1"/>
  <c r="G517"/>
  <c r="G516" s="1"/>
  <c r="H410"/>
  <c r="H409" s="1"/>
  <c r="G510" l="1"/>
  <c r="C18" i="27" l="1"/>
  <c r="G100" i="60"/>
  <c r="H293" i="77"/>
  <c r="H292" s="1"/>
  <c r="H291" s="1"/>
  <c r="G293"/>
  <c r="G290"/>
  <c r="H286"/>
  <c r="H285" s="1"/>
  <c r="H288"/>
  <c r="G288"/>
  <c r="G286"/>
  <c r="G285" s="1"/>
  <c r="H284"/>
  <c r="G284"/>
  <c r="H282"/>
  <c r="H283"/>
  <c r="H279"/>
  <c r="H280"/>
  <c r="G282"/>
  <c r="G283"/>
  <c r="G279"/>
  <c r="G280"/>
  <c r="H274"/>
  <c r="H275"/>
  <c r="H276"/>
  <c r="H277"/>
  <c r="G277"/>
  <c r="G276"/>
  <c r="G275"/>
  <c r="G274"/>
  <c r="G271"/>
  <c r="G270"/>
  <c r="H268"/>
  <c r="H267" s="1"/>
  <c r="G268"/>
  <c r="G266"/>
  <c r="H260"/>
  <c r="H259"/>
  <c r="H258" s="1"/>
  <c r="H257"/>
  <c r="G257"/>
  <c r="H251"/>
  <c r="G251"/>
  <c r="H253"/>
  <c r="H252" s="1"/>
  <c r="G253"/>
  <c r="H247"/>
  <c r="G247"/>
  <c r="G248"/>
  <c r="G244"/>
  <c r="H244"/>
  <c r="H243" s="1"/>
  <c r="G80" i="76"/>
  <c r="H80" s="1"/>
  <c r="H79" s="1"/>
  <c r="H78" s="1"/>
  <c r="H77" s="1"/>
  <c r="G82"/>
  <c r="G81" s="1"/>
  <c r="H81"/>
  <c r="H139" i="19"/>
  <c r="L139" s="1"/>
  <c r="H138"/>
  <c r="G139"/>
  <c r="G137"/>
  <c r="H235" i="77"/>
  <c r="H234" s="1"/>
  <c r="G235"/>
  <c r="G234" s="1"/>
  <c r="H237"/>
  <c r="H236" s="1"/>
  <c r="G237"/>
  <c r="G236" s="1"/>
  <c r="G228"/>
  <c r="H229"/>
  <c r="G229"/>
  <c r="H231"/>
  <c r="H230" s="1"/>
  <c r="G231"/>
  <c r="G230" s="1"/>
  <c r="H167" i="60"/>
  <c r="G167"/>
  <c r="H166"/>
  <c r="H165" s="1"/>
  <c r="G165"/>
  <c r="G162"/>
  <c r="H222" i="77"/>
  <c r="H221" s="1"/>
  <c r="H220" s="1"/>
  <c r="G222"/>
  <c r="G221" s="1"/>
  <c r="G220" s="1"/>
  <c r="H303" i="60"/>
  <c r="H302" s="1"/>
  <c r="H301" s="1"/>
  <c r="G303"/>
  <c r="G302" s="1"/>
  <c r="G301" s="1"/>
  <c r="H219" i="77"/>
  <c r="G219"/>
  <c r="H218"/>
  <c r="H217"/>
  <c r="G218"/>
  <c r="G217"/>
  <c r="H95" i="60"/>
  <c r="H94" s="1"/>
  <c r="G95"/>
  <c r="G94" s="1"/>
  <c r="G213" i="77"/>
  <c r="G212"/>
  <c r="G210"/>
  <c r="G209" s="1"/>
  <c r="G208"/>
  <c r="G207"/>
  <c r="G205"/>
  <c r="G204" s="1"/>
  <c r="H202"/>
  <c r="H201" s="1"/>
  <c r="G202"/>
  <c r="G201" s="1"/>
  <c r="H131" i="60"/>
  <c r="H130" s="1"/>
  <c r="G131"/>
  <c r="G130" s="1"/>
  <c r="H198" i="77"/>
  <c r="H197" s="1"/>
  <c r="G199"/>
  <c r="G198" s="1"/>
  <c r="G197" s="1"/>
  <c r="G410" i="60"/>
  <c r="G409" s="1"/>
  <c r="H13" i="77"/>
  <c r="G518" i="76"/>
  <c r="G391"/>
  <c r="G489"/>
  <c r="G488"/>
  <c r="G493"/>
  <c r="H494" i="60"/>
  <c r="G79" i="76" l="1"/>
  <c r="G78" s="1"/>
  <c r="G77" s="1"/>
  <c r="H137" i="19"/>
  <c r="L137" s="1"/>
  <c r="L138"/>
  <c r="H161" i="60"/>
  <c r="H160" s="1"/>
  <c r="H159" s="1"/>
  <c r="H281" i="77"/>
  <c r="H233"/>
  <c r="H232" s="1"/>
  <c r="G233"/>
  <c r="G232" s="1"/>
  <c r="G136" i="19"/>
  <c r="G227" i="77"/>
  <c r="G226" s="1"/>
  <c r="G225" s="1"/>
  <c r="H227"/>
  <c r="H226" s="1"/>
  <c r="H225" s="1"/>
  <c r="G161" i="60"/>
  <c r="G160" s="1"/>
  <c r="G159" s="1"/>
  <c r="G216" i="77"/>
  <c r="G215" s="1"/>
  <c r="H216"/>
  <c r="H215" s="1"/>
  <c r="G206"/>
  <c r="G211"/>
  <c r="E13" i="57"/>
  <c r="D24" i="43"/>
  <c r="H136" i="19" l="1"/>
  <c r="L136" s="1"/>
  <c r="G135"/>
  <c r="H214" i="77"/>
  <c r="G214"/>
  <c r="G203"/>
  <c r="G200" s="1"/>
  <c r="G98" i="19"/>
  <c r="H135" l="1"/>
  <c r="L135" s="1"/>
  <c r="G470" i="60"/>
  <c r="H495"/>
  <c r="H445"/>
  <c r="G436"/>
  <c r="G13" i="77"/>
  <c r="G583" i="19"/>
  <c r="K583" s="1"/>
  <c r="K449"/>
  <c r="K448"/>
  <c r="G354"/>
  <c r="H204" i="60"/>
  <c r="G204"/>
  <c r="G212"/>
  <c r="D41" i="65" s="1"/>
  <c r="H212" i="60"/>
  <c r="H299"/>
  <c r="H298" s="1"/>
  <c r="G299"/>
  <c r="G298" s="1"/>
  <c r="H232" l="1"/>
  <c r="K482" i="19"/>
  <c r="H73" i="60"/>
  <c r="H72" s="1"/>
  <c r="H67" s="1"/>
  <c r="H65"/>
  <c r="H64" s="1"/>
  <c r="H533"/>
  <c r="G533"/>
  <c r="H531"/>
  <c r="G531"/>
  <c r="G559"/>
  <c r="G558" s="1"/>
  <c r="G557" s="1"/>
  <c r="G556" s="1"/>
  <c r="G555" s="1"/>
  <c r="D27" i="65" s="1"/>
  <c r="G538" i="60"/>
  <c r="H529" l="1"/>
  <c r="K682" i="19" l="1"/>
  <c r="H490" i="60"/>
  <c r="H465"/>
  <c r="G465"/>
  <c r="H507"/>
  <c r="G507"/>
  <c r="H504"/>
  <c r="G504"/>
  <c r="H501"/>
  <c r="G501"/>
  <c r="H487"/>
  <c r="H486" s="1"/>
  <c r="G487"/>
  <c r="G486" s="1"/>
  <c r="H450"/>
  <c r="G450"/>
  <c r="H448"/>
  <c r="G448"/>
  <c r="H446"/>
  <c r="G446"/>
  <c r="H430"/>
  <c r="G430"/>
  <c r="H428"/>
  <c r="G428"/>
  <c r="H426"/>
  <c r="G426"/>
  <c r="H407"/>
  <c r="G407"/>
  <c r="H405"/>
  <c r="G405"/>
  <c r="H401"/>
  <c r="G401"/>
  <c r="H400"/>
  <c r="H399" s="1"/>
  <c r="G399"/>
  <c r="H395"/>
  <c r="G395"/>
  <c r="H393"/>
  <c r="G393"/>
  <c r="H391"/>
  <c r="G391"/>
  <c r="H389"/>
  <c r="G389"/>
  <c r="H387"/>
  <c r="H381" s="1"/>
  <c r="G387"/>
  <c r="H331"/>
  <c r="G331"/>
  <c r="H328"/>
  <c r="H322" s="1"/>
  <c r="G328"/>
  <c r="G385"/>
  <c r="G291"/>
  <c r="H279"/>
  <c r="H277"/>
  <c r="H275"/>
  <c r="H273"/>
  <c r="H267"/>
  <c r="H264"/>
  <c r="H261"/>
  <c r="H253"/>
  <c r="H252" s="1"/>
  <c r="H251" s="1"/>
  <c r="F46" i="65" s="1"/>
  <c r="G279" i="60"/>
  <c r="G277"/>
  <c r="G275"/>
  <c r="G273"/>
  <c r="G272" s="1"/>
  <c r="G267"/>
  <c r="G264"/>
  <c r="G261"/>
  <c r="G253"/>
  <c r="G252" s="1"/>
  <c r="G251" s="1"/>
  <c r="D46" i="65" s="1"/>
  <c r="H248" i="60"/>
  <c r="G248"/>
  <c r="H247"/>
  <c r="G247"/>
  <c r="G244"/>
  <c r="G242"/>
  <c r="G240"/>
  <c r="G232"/>
  <c r="H231"/>
  <c r="H230" s="1"/>
  <c r="H229" s="1"/>
  <c r="H228" s="1"/>
  <c r="H227" s="1"/>
  <c r="G230"/>
  <c r="H225"/>
  <c r="G224"/>
  <c r="G223" s="1"/>
  <c r="H222"/>
  <c r="H221"/>
  <c r="G220"/>
  <c r="G219" s="1"/>
  <c r="G218" s="1"/>
  <c r="H216"/>
  <c r="H215" s="1"/>
  <c r="H202"/>
  <c r="H200"/>
  <c r="H199"/>
  <c r="H197"/>
  <c r="G202"/>
  <c r="G200"/>
  <c r="G199"/>
  <c r="G197"/>
  <c r="G185"/>
  <c r="G190"/>
  <c r="G188"/>
  <c r="H177"/>
  <c r="H176" s="1"/>
  <c r="H175" s="1"/>
  <c r="G181"/>
  <c r="G260" i="77" s="1"/>
  <c r="G179" i="60"/>
  <c r="G259" i="77" s="1"/>
  <c r="G177" i="60"/>
  <c r="G170"/>
  <c r="G169" s="1"/>
  <c r="G158" s="1"/>
  <c r="H157"/>
  <c r="H213" i="77" s="1"/>
  <c r="H156" i="60"/>
  <c r="H212" i="77" s="1"/>
  <c r="G155" i="60"/>
  <c r="H154"/>
  <c r="G153"/>
  <c r="H152"/>
  <c r="H208" i="77" s="1"/>
  <c r="H151" i="60"/>
  <c r="H207" i="77" s="1"/>
  <c r="G150" i="60"/>
  <c r="H149"/>
  <c r="G148"/>
  <c r="G112"/>
  <c r="G127"/>
  <c r="G126"/>
  <c r="G123"/>
  <c r="G121"/>
  <c r="G116"/>
  <c r="G87"/>
  <c r="G86" s="1"/>
  <c r="G85" s="1"/>
  <c r="G84" s="1"/>
  <c r="D14" i="65" s="1"/>
  <c r="G80" i="60"/>
  <c r="G79" s="1"/>
  <c r="G78" s="1"/>
  <c r="G77" s="1"/>
  <c r="D12" i="65" s="1"/>
  <c r="H272" i="60" l="1"/>
  <c r="H271" s="1"/>
  <c r="H270" s="1"/>
  <c r="H485"/>
  <c r="G198"/>
  <c r="G264" i="77"/>
  <c r="G263" s="1"/>
  <c r="H198" i="60"/>
  <c r="H195" s="1"/>
  <c r="H194" s="1"/>
  <c r="H193" s="1"/>
  <c r="H264" i="77"/>
  <c r="H224" i="60"/>
  <c r="H223" s="1"/>
  <c r="H290" i="77"/>
  <c r="G196" i="60"/>
  <c r="G195" s="1"/>
  <c r="G194" s="1"/>
  <c r="G193" s="1"/>
  <c r="D37" i="65" s="1"/>
  <c r="G262" i="77"/>
  <c r="G261" s="1"/>
  <c r="H196" i="60"/>
  <c r="H262" i="77"/>
  <c r="H206"/>
  <c r="H211"/>
  <c r="H148" i="60"/>
  <c r="H205" i="77"/>
  <c r="H204" s="1"/>
  <c r="H153" i="60"/>
  <c r="H210" i="77"/>
  <c r="H209" s="1"/>
  <c r="H425" i="60"/>
  <c r="H444"/>
  <c r="G381"/>
  <c r="G322"/>
  <c r="G246"/>
  <c r="G241"/>
  <c r="G260"/>
  <c r="G259" s="1"/>
  <c r="G258" s="1"/>
  <c r="D47" i="65" s="1"/>
  <c r="H260" i="60"/>
  <c r="H259" s="1"/>
  <c r="H258" s="1"/>
  <c r="F47" i="65" s="1"/>
  <c r="G271" i="60"/>
  <c r="G270" s="1"/>
  <c r="D48" i="65" s="1"/>
  <c r="H220" i="60"/>
  <c r="H219" s="1"/>
  <c r="H218" s="1"/>
  <c r="H214" s="1"/>
  <c r="G229"/>
  <c r="G228" s="1"/>
  <c r="G227" s="1"/>
  <c r="G176"/>
  <c r="G175" s="1"/>
  <c r="H150"/>
  <c r="G184"/>
  <c r="G183" s="1"/>
  <c r="H155"/>
  <c r="G147"/>
  <c r="G146" s="1"/>
  <c r="G125"/>
  <c r="G120"/>
  <c r="H54" i="76"/>
  <c r="G18"/>
  <c r="G203" i="19"/>
  <c r="F48" i="65" l="1"/>
  <c r="E48"/>
  <c r="H203" i="77"/>
  <c r="H200" s="1"/>
  <c r="H250" i="60"/>
  <c r="H75" s="1"/>
  <c r="G250"/>
  <c r="G75" s="1"/>
  <c r="H147"/>
  <c r="H146" s="1"/>
  <c r="K647" i="19" l="1"/>
  <c r="G241" l="1"/>
  <c r="G262" l="1"/>
  <c r="G260"/>
  <c r="G259" l="1"/>
  <c r="G292" i="77"/>
  <c r="G291" s="1"/>
  <c r="H289"/>
  <c r="H287"/>
  <c r="H270"/>
  <c r="H263"/>
  <c r="H261"/>
  <c r="G258"/>
  <c r="G256"/>
  <c r="G252"/>
  <c r="G250"/>
  <c r="G249"/>
  <c r="K259" i="19" l="1"/>
  <c r="G289" i="77"/>
  <c r="H256"/>
  <c r="H250"/>
  <c r="G12"/>
  <c r="G11" s="1"/>
  <c r="H12"/>
  <c r="H11" s="1"/>
  <c r="G13" i="76"/>
  <c r="K699" i="19" l="1"/>
  <c r="G702"/>
  <c r="K702" s="1"/>
  <c r="G706"/>
  <c r="K706" s="1"/>
  <c r="E63" i="57" l="1"/>
  <c r="D63"/>
  <c r="E43"/>
  <c r="D43"/>
  <c r="E39"/>
  <c r="D39"/>
  <c r="E34"/>
  <c r="D34"/>
  <c r="E30"/>
  <c r="D30"/>
  <c r="E28"/>
  <c r="D28"/>
  <c r="E24"/>
  <c r="D24"/>
  <c r="E19"/>
  <c r="D19"/>
  <c r="D13"/>
  <c r="D12" s="1"/>
  <c r="E12"/>
  <c r="D67" i="43"/>
  <c r="D47"/>
  <c r="D43"/>
  <c r="D38"/>
  <c r="D30"/>
  <c r="D28"/>
  <c r="D19"/>
  <c r="D13"/>
  <c r="G210" i="19"/>
  <c r="G99" i="60"/>
  <c r="G98" s="1"/>
  <c r="D15" i="65" s="1"/>
  <c r="H100" i="60"/>
  <c r="H99" s="1"/>
  <c r="H98" s="1"/>
  <c r="F15" i="65" s="1"/>
  <c r="G747" i="19"/>
  <c r="H748"/>
  <c r="G493"/>
  <c r="K493" s="1"/>
  <c r="G328"/>
  <c r="G327"/>
  <c r="G324"/>
  <c r="G322"/>
  <c r="G150"/>
  <c r="G148"/>
  <c r="G320"/>
  <c r="G318"/>
  <c r="G154"/>
  <c r="G153"/>
  <c r="G700"/>
  <c r="H701"/>
  <c r="G260" i="76"/>
  <c r="G252"/>
  <c r="G251" s="1"/>
  <c r="D12" i="43" l="1"/>
  <c r="F12" s="1"/>
  <c r="F13"/>
  <c r="H700" i="19"/>
  <c r="L701"/>
  <c r="G698"/>
  <c r="K698" s="1"/>
  <c r="K700"/>
  <c r="G55" i="76"/>
  <c r="G54" s="1"/>
  <c r="H747" i="19"/>
  <c r="L748"/>
  <c r="G745"/>
  <c r="K745" s="1"/>
  <c r="K747"/>
  <c r="D11" i="57"/>
  <c r="G574" i="60" s="1"/>
  <c r="E11" i="57"/>
  <c r="H574" i="60" s="1"/>
  <c r="H392" i="19"/>
  <c r="H762"/>
  <c r="H763" s="1"/>
  <c r="H754"/>
  <c r="H739"/>
  <c r="H737"/>
  <c r="L737" s="1"/>
  <c r="H736"/>
  <c r="L736" s="1"/>
  <c r="H734"/>
  <c r="L734" s="1"/>
  <c r="H733"/>
  <c r="L733" s="1"/>
  <c r="H727"/>
  <c r="L727" s="1"/>
  <c r="H721"/>
  <c r="L721" s="1"/>
  <c r="H720"/>
  <c r="H712"/>
  <c r="H709"/>
  <c r="L709" s="1"/>
  <c r="H708"/>
  <c r="H693"/>
  <c r="H689"/>
  <c r="H685"/>
  <c r="H681"/>
  <c r="L681" s="1"/>
  <c r="H677"/>
  <c r="H674"/>
  <c r="L674" s="1"/>
  <c r="H663"/>
  <c r="L663" s="1"/>
  <c r="H662"/>
  <c r="L662" s="1"/>
  <c r="H661"/>
  <c r="L661" s="1"/>
  <c r="H659"/>
  <c r="L659" s="1"/>
  <c r="H658"/>
  <c r="L658" s="1"/>
  <c r="H656"/>
  <c r="L656" s="1"/>
  <c r="H655"/>
  <c r="L655" s="1"/>
  <c r="H653"/>
  <c r="L653" s="1"/>
  <c r="H652"/>
  <c r="L652" s="1"/>
  <c r="H641"/>
  <c r="L641" s="1"/>
  <c r="H640"/>
  <c r="L640" s="1"/>
  <c r="H639"/>
  <c r="L639" s="1"/>
  <c r="H635"/>
  <c r="H628"/>
  <c r="H624"/>
  <c r="H622"/>
  <c r="H617"/>
  <c r="H613"/>
  <c r="H609"/>
  <c r="H600"/>
  <c r="L600" s="1"/>
  <c r="H599"/>
  <c r="L599" s="1"/>
  <c r="H598"/>
  <c r="L598" s="1"/>
  <c r="H594"/>
  <c r="L594" s="1"/>
  <c r="H593"/>
  <c r="L593" s="1"/>
  <c r="H589"/>
  <c r="L589" s="1"/>
  <c r="H588"/>
  <c r="L588" s="1"/>
  <c r="H587"/>
  <c r="L587" s="1"/>
  <c r="H585"/>
  <c r="H570"/>
  <c r="H567"/>
  <c r="L567" s="1"/>
  <c r="H561"/>
  <c r="L561" s="1"/>
  <c r="H560"/>
  <c r="H553"/>
  <c r="H538"/>
  <c r="L538" s="1"/>
  <c r="H522"/>
  <c r="L522" s="1"/>
  <c r="H520"/>
  <c r="L520" s="1"/>
  <c r="H518"/>
  <c r="H514"/>
  <c r="H510"/>
  <c r="H506"/>
  <c r="H503"/>
  <c r="L503" s="1"/>
  <c r="H502"/>
  <c r="H499"/>
  <c r="L499" s="1"/>
  <c r="H498"/>
  <c r="H494"/>
  <c r="H492"/>
  <c r="H490"/>
  <c r="H488"/>
  <c r="H484"/>
  <c r="H467"/>
  <c r="L467" s="1"/>
  <c r="H458"/>
  <c r="L458" s="1"/>
  <c r="H457"/>
  <c r="L457" s="1"/>
  <c r="H455"/>
  <c r="L455" s="1"/>
  <c r="H454"/>
  <c r="L454" s="1"/>
  <c r="H452"/>
  <c r="L452" s="1"/>
  <c r="H451"/>
  <c r="L451" s="1"/>
  <c r="H441"/>
  <c r="H428"/>
  <c r="H424"/>
  <c r="L424" s="1"/>
  <c r="H420"/>
  <c r="H413"/>
  <c r="L413" s="1"/>
  <c r="H412"/>
  <c r="H408"/>
  <c r="H405"/>
  <c r="L405" s="1"/>
  <c r="H404"/>
  <c r="H402"/>
  <c r="H400"/>
  <c r="H393"/>
  <c r="L393" s="1"/>
  <c r="H388"/>
  <c r="H382"/>
  <c r="H377"/>
  <c r="H375"/>
  <c r="H368"/>
  <c r="L368" s="1"/>
  <c r="H365"/>
  <c r="L365" s="1"/>
  <c r="H359"/>
  <c r="L359" s="1"/>
  <c r="H358"/>
  <c r="H356"/>
  <c r="H353"/>
  <c r="L353" s="1"/>
  <c r="H349"/>
  <c r="L349" s="1"/>
  <c r="H348"/>
  <c r="L348" s="1"/>
  <c r="H345"/>
  <c r="L343"/>
  <c r="H333"/>
  <c r="H329"/>
  <c r="L329" s="1"/>
  <c r="H328"/>
  <c r="L328" s="1"/>
  <c r="H327"/>
  <c r="L327" s="1"/>
  <c r="H325"/>
  <c r="L325" s="1"/>
  <c r="H324"/>
  <c r="L324" s="1"/>
  <c r="H323"/>
  <c r="L323" s="1"/>
  <c r="H322"/>
  <c r="L322" s="1"/>
  <c r="H320"/>
  <c r="L320" s="1"/>
  <c r="H319"/>
  <c r="L319" s="1"/>
  <c r="H318"/>
  <c r="L318" s="1"/>
  <c r="H317"/>
  <c r="L317" s="1"/>
  <c r="H309"/>
  <c r="H302"/>
  <c r="H300"/>
  <c r="H297"/>
  <c r="L297" s="1"/>
  <c r="H296"/>
  <c r="L296" s="1"/>
  <c r="H288"/>
  <c r="L288" s="1"/>
  <c r="H279"/>
  <c r="H277"/>
  <c r="H275"/>
  <c r="H266"/>
  <c r="L266" s="1"/>
  <c r="H265"/>
  <c r="H261"/>
  <c r="L261" s="1"/>
  <c r="H259"/>
  <c r="H249"/>
  <c r="H245"/>
  <c r="L245" s="1"/>
  <c r="H239"/>
  <c r="L239" s="1"/>
  <c r="H238"/>
  <c r="H226"/>
  <c r="L226" s="1"/>
  <c r="H225"/>
  <c r="L225" s="1"/>
  <c r="H218"/>
  <c r="H214"/>
  <c r="L214" s="1"/>
  <c r="H209"/>
  <c r="H200"/>
  <c r="L200" s="1"/>
  <c r="H199"/>
  <c r="L199" s="1"/>
  <c r="H197"/>
  <c r="H191"/>
  <c r="L191" s="1"/>
  <c r="H190"/>
  <c r="L190" s="1"/>
  <c r="H188"/>
  <c r="H186"/>
  <c r="L186" s="1"/>
  <c r="H185"/>
  <c r="L185" s="1"/>
  <c r="H183"/>
  <c r="H173"/>
  <c r="H167"/>
  <c r="H164"/>
  <c r="H162"/>
  <c r="H155"/>
  <c r="L155" s="1"/>
  <c r="H154"/>
  <c r="L154" s="1"/>
  <c r="H153"/>
  <c r="L153" s="1"/>
  <c r="H151"/>
  <c r="L151" s="1"/>
  <c r="H150"/>
  <c r="L150" s="1"/>
  <c r="H149"/>
  <c r="L149" s="1"/>
  <c r="H148"/>
  <c r="L148" s="1"/>
  <c r="H146"/>
  <c r="L146" s="1"/>
  <c r="H145"/>
  <c r="L145" s="1"/>
  <c r="H144"/>
  <c r="L144" s="1"/>
  <c r="H132"/>
  <c r="H127"/>
  <c r="H118"/>
  <c r="L118" s="1"/>
  <c r="H117"/>
  <c r="L117" s="1"/>
  <c r="H112"/>
  <c r="L112" s="1"/>
  <c r="H111"/>
  <c r="L111" s="1"/>
  <c r="H97"/>
  <c r="L97" s="1"/>
  <c r="H92"/>
  <c r="H84"/>
  <c r="H80"/>
  <c r="H69"/>
  <c r="H60"/>
  <c r="H55"/>
  <c r="L55" s="1"/>
  <c r="H54"/>
  <c r="L54" s="1"/>
  <c r="H52"/>
  <c r="L52" s="1"/>
  <c r="H51"/>
  <c r="L51" s="1"/>
  <c r="H39"/>
  <c r="L39" s="1"/>
  <c r="H36"/>
  <c r="L36" s="1"/>
  <c r="H31"/>
  <c r="L31" s="1"/>
  <c r="H30"/>
  <c r="L30" s="1"/>
  <c r="H29"/>
  <c r="L29" s="1"/>
  <c r="H27"/>
  <c r="L27" s="1"/>
  <c r="H26"/>
  <c r="L26" s="1"/>
  <c r="H21"/>
  <c r="L21" s="1"/>
  <c r="H17"/>
  <c r="L17" s="1"/>
  <c r="L259" l="1"/>
  <c r="D11" i="43"/>
  <c r="H91" i="19"/>
  <c r="L92"/>
  <c r="H166"/>
  <c r="L167"/>
  <c r="H196"/>
  <c r="L196" s="1"/>
  <c r="L197"/>
  <c r="H237"/>
  <c r="L237" s="1"/>
  <c r="L238"/>
  <c r="H274"/>
  <c r="L274" s="1"/>
  <c r="L275"/>
  <c r="H308"/>
  <c r="L309"/>
  <c r="H332"/>
  <c r="L333"/>
  <c r="H376"/>
  <c r="L376" s="1"/>
  <c r="L377"/>
  <c r="H399"/>
  <c r="L399" s="1"/>
  <c r="L400"/>
  <c r="H407"/>
  <c r="L407" s="1"/>
  <c r="L408"/>
  <c r="H509"/>
  <c r="L509" s="1"/>
  <c r="L510"/>
  <c r="H521"/>
  <c r="L521" s="1"/>
  <c r="H608"/>
  <c r="L609"/>
  <c r="H676"/>
  <c r="L677"/>
  <c r="H692"/>
  <c r="L692" s="1"/>
  <c r="L693"/>
  <c r="H711"/>
  <c r="L711" s="1"/>
  <c r="L712"/>
  <c r="H738"/>
  <c r="L738" s="1"/>
  <c r="L739"/>
  <c r="H698"/>
  <c r="L700"/>
  <c r="H68"/>
  <c r="L68" s="1"/>
  <c r="L69"/>
  <c r="H172"/>
  <c r="L173"/>
  <c r="H187"/>
  <c r="L187" s="1"/>
  <c r="L188"/>
  <c r="H217"/>
  <c r="L217" s="1"/>
  <c r="L218"/>
  <c r="H276"/>
  <c r="L276" s="1"/>
  <c r="L277"/>
  <c r="H381"/>
  <c r="L382"/>
  <c r="H401"/>
  <c r="L401" s="1"/>
  <c r="L402"/>
  <c r="H411"/>
  <c r="L411" s="1"/>
  <c r="L412"/>
  <c r="H427"/>
  <c r="L427" s="1"/>
  <c r="L428"/>
  <c r="H491"/>
  <c r="L492"/>
  <c r="H501"/>
  <c r="L501" s="1"/>
  <c r="L502"/>
  <c r="H537"/>
  <c r="L537" s="1"/>
  <c r="H753"/>
  <c r="L753" s="1"/>
  <c r="L754"/>
  <c r="H59"/>
  <c r="L59" s="1"/>
  <c r="L60"/>
  <c r="H79"/>
  <c r="L80"/>
  <c r="H161"/>
  <c r="L161" s="1"/>
  <c r="L162"/>
  <c r="H182"/>
  <c r="L182" s="1"/>
  <c r="L183"/>
  <c r="H264"/>
  <c r="L264" s="1"/>
  <c r="L265"/>
  <c r="H278"/>
  <c r="L278" s="1"/>
  <c r="L279"/>
  <c r="H299"/>
  <c r="L300"/>
  <c r="H344"/>
  <c r="L344" s="1"/>
  <c r="L345"/>
  <c r="H355"/>
  <c r="L355" s="1"/>
  <c r="L356"/>
  <c r="H387"/>
  <c r="L388"/>
  <c r="H403"/>
  <c r="L403" s="1"/>
  <c r="L404"/>
  <c r="H440"/>
  <c r="L441"/>
  <c r="H483"/>
  <c r="L484"/>
  <c r="H493"/>
  <c r="L493" s="1"/>
  <c r="L494"/>
  <c r="H552"/>
  <c r="L553"/>
  <c r="H569"/>
  <c r="L569" s="1"/>
  <c r="L570"/>
  <c r="H634"/>
  <c r="L634" s="1"/>
  <c r="L635"/>
  <c r="H684"/>
  <c r="L684" s="1"/>
  <c r="L685"/>
  <c r="H707"/>
  <c r="L707" s="1"/>
  <c r="L708"/>
  <c r="H83"/>
  <c r="L84"/>
  <c r="H131"/>
  <c r="L131" s="1"/>
  <c r="L132"/>
  <c r="H163"/>
  <c r="L163" s="1"/>
  <c r="L164"/>
  <c r="H208"/>
  <c r="L208" s="1"/>
  <c r="L209"/>
  <c r="H248"/>
  <c r="L248" s="1"/>
  <c r="L249"/>
  <c r="H301"/>
  <c r="L301" s="1"/>
  <c r="L302"/>
  <c r="H357"/>
  <c r="L357" s="1"/>
  <c r="L358"/>
  <c r="H374"/>
  <c r="L374" s="1"/>
  <c r="L375"/>
  <c r="H419"/>
  <c r="L419" s="1"/>
  <c r="L420"/>
  <c r="H487"/>
  <c r="L487" s="1"/>
  <c r="L488"/>
  <c r="H519"/>
  <c r="L519" s="1"/>
  <c r="H559"/>
  <c r="L559" s="1"/>
  <c r="L560"/>
  <c r="H584"/>
  <c r="L584" s="1"/>
  <c r="L585"/>
  <c r="H688"/>
  <c r="L688" s="1"/>
  <c r="L689"/>
  <c r="H391"/>
  <c r="L391" s="1"/>
  <c r="L392"/>
  <c r="H616"/>
  <c r="L617"/>
  <c r="H612"/>
  <c r="L612" s="1"/>
  <c r="L613"/>
  <c r="H621"/>
  <c r="L622"/>
  <c r="H627"/>
  <c r="L627" s="1"/>
  <c r="L628"/>
  <c r="H623"/>
  <c r="L623" s="1"/>
  <c r="L624"/>
  <c r="H517"/>
  <c r="L517" s="1"/>
  <c r="L518"/>
  <c r="H489"/>
  <c r="L489" s="1"/>
  <c r="L490"/>
  <c r="H126"/>
  <c r="L127"/>
  <c r="H505"/>
  <c r="L505" s="1"/>
  <c r="L506"/>
  <c r="H745"/>
  <c r="L747"/>
  <c r="H497"/>
  <c r="L497" s="1"/>
  <c r="L498"/>
  <c r="H513"/>
  <c r="L513" s="1"/>
  <c r="L514"/>
  <c r="H719"/>
  <c r="L719" s="1"/>
  <c r="L720"/>
  <c r="H213"/>
  <c r="L213" s="1"/>
  <c r="H35"/>
  <c r="L35" s="1"/>
  <c r="H53"/>
  <c r="L53" s="1"/>
  <c r="H657"/>
  <c r="L657" s="1"/>
  <c r="H341"/>
  <c r="L341" s="1"/>
  <c r="H453"/>
  <c r="L453" s="1"/>
  <c r="H735"/>
  <c r="L735" s="1"/>
  <c r="H651"/>
  <c r="L651" s="1"/>
  <c r="H147"/>
  <c r="L147" s="1"/>
  <c r="H152"/>
  <c r="L152" s="1"/>
  <c r="H732"/>
  <c r="L732" s="1"/>
  <c r="H28"/>
  <c r="L28" s="1"/>
  <c r="H110"/>
  <c r="L110" s="1"/>
  <c r="H295"/>
  <c r="H592"/>
  <c r="L592" s="1"/>
  <c r="H638"/>
  <c r="L638" s="1"/>
  <c r="H116"/>
  <c r="H50"/>
  <c r="L50" s="1"/>
  <c r="H143"/>
  <c r="L143" s="1"/>
  <c r="H597"/>
  <c r="L597" s="1"/>
  <c r="H586"/>
  <c r="L586" s="1"/>
  <c r="H189"/>
  <c r="L189" s="1"/>
  <c r="H198"/>
  <c r="H321"/>
  <c r="L321" s="1"/>
  <c r="H326"/>
  <c r="L326" s="1"/>
  <c r="H347"/>
  <c r="L347" s="1"/>
  <c r="H660"/>
  <c r="L660" s="1"/>
  <c r="H456"/>
  <c r="L456" s="1"/>
  <c r="H450"/>
  <c r="L450" s="1"/>
  <c r="H654"/>
  <c r="L654" s="1"/>
  <c r="H316"/>
  <c r="L316" s="1"/>
  <c r="H184"/>
  <c r="H224"/>
  <c r="H752"/>
  <c r="H750"/>
  <c r="H244"/>
  <c r="H705"/>
  <c r="H78"/>
  <c r="L78" s="1"/>
  <c r="L483" l="1"/>
  <c r="H481"/>
  <c r="L481" s="1"/>
  <c r="H371"/>
  <c r="L371" s="1"/>
  <c r="H398"/>
  <c r="L398" s="1"/>
  <c r="H272"/>
  <c r="L272" s="1"/>
  <c r="H58"/>
  <c r="L58" s="1"/>
  <c r="H389"/>
  <c r="L389" s="1"/>
  <c r="H390"/>
  <c r="L390" s="1"/>
  <c r="H258"/>
  <c r="L258" s="1"/>
  <c r="L491"/>
  <c r="F11" i="43"/>
  <c r="H749" i="19"/>
  <c r="L749" s="1"/>
  <c r="L750"/>
  <c r="H223"/>
  <c r="L224"/>
  <c r="H193"/>
  <c r="L198"/>
  <c r="H751"/>
  <c r="L751" s="1"/>
  <c r="L752"/>
  <c r="H181"/>
  <c r="L184"/>
  <c r="H378"/>
  <c r="L378" s="1"/>
  <c r="L381"/>
  <c r="L698"/>
  <c r="H697"/>
  <c r="L697" s="1"/>
  <c r="H675"/>
  <c r="L675" s="1"/>
  <c r="L676"/>
  <c r="H307"/>
  <c r="L308"/>
  <c r="H165"/>
  <c r="L165" s="1"/>
  <c r="L166"/>
  <c r="H243"/>
  <c r="L244"/>
  <c r="H680"/>
  <c r="H158"/>
  <c r="H294"/>
  <c r="L295"/>
  <c r="H236"/>
  <c r="H704"/>
  <c r="L705"/>
  <c r="H551"/>
  <c r="L551" s="1"/>
  <c r="L552"/>
  <c r="H298"/>
  <c r="L298" s="1"/>
  <c r="L299"/>
  <c r="H534"/>
  <c r="L534" s="1"/>
  <c r="H171"/>
  <c r="L172"/>
  <c r="H352"/>
  <c r="H410"/>
  <c r="H103"/>
  <c r="L116"/>
  <c r="H82"/>
  <c r="L83"/>
  <c r="H439"/>
  <c r="L439" s="1"/>
  <c r="L440"/>
  <c r="H384"/>
  <c r="L387"/>
  <c r="H77"/>
  <c r="L79"/>
  <c r="H607"/>
  <c r="L607" s="1"/>
  <c r="L608"/>
  <c r="H331"/>
  <c r="L331" s="1"/>
  <c r="L332"/>
  <c r="H90"/>
  <c r="L91"/>
  <c r="H620"/>
  <c r="L621"/>
  <c r="H615"/>
  <c r="L615" s="1"/>
  <c r="L616"/>
  <c r="H125"/>
  <c r="L126"/>
  <c r="H744"/>
  <c r="L744" s="1"/>
  <c r="L745"/>
  <c r="H718"/>
  <c r="H315"/>
  <c r="H340"/>
  <c r="H142"/>
  <c r="H582"/>
  <c r="H34"/>
  <c r="L34" s="1"/>
  <c r="H446"/>
  <c r="L446" s="1"/>
  <c r="H726"/>
  <c r="H633"/>
  <c r="H312"/>
  <c r="H57" l="1"/>
  <c r="L57" s="1"/>
  <c r="H480"/>
  <c r="L480" s="1"/>
  <c r="H293"/>
  <c r="L294"/>
  <c r="H242"/>
  <c r="L242" s="1"/>
  <c r="L243"/>
  <c r="H306"/>
  <c r="L307"/>
  <c r="H222"/>
  <c r="L223"/>
  <c r="H632"/>
  <c r="L633"/>
  <c r="H581"/>
  <c r="L582"/>
  <c r="H89"/>
  <c r="L90"/>
  <c r="H383"/>
  <c r="L383" s="1"/>
  <c r="L384"/>
  <c r="H81"/>
  <c r="L81" s="1"/>
  <c r="L82"/>
  <c r="H409"/>
  <c r="L409" s="1"/>
  <c r="L410"/>
  <c r="H170"/>
  <c r="L170" s="1"/>
  <c r="L171"/>
  <c r="H696"/>
  <c r="L696" s="1"/>
  <c r="L704"/>
  <c r="H156"/>
  <c r="L156" s="1"/>
  <c r="L158"/>
  <c r="H339"/>
  <c r="L340"/>
  <c r="H76"/>
  <c r="L77"/>
  <c r="H533"/>
  <c r="L533" s="1"/>
  <c r="H102"/>
  <c r="L103"/>
  <c r="H725"/>
  <c r="L726"/>
  <c r="H141"/>
  <c r="L141" s="1"/>
  <c r="L142"/>
  <c r="H351"/>
  <c r="L352"/>
  <c r="H235"/>
  <c r="L236"/>
  <c r="H679"/>
  <c r="L679" s="1"/>
  <c r="L680"/>
  <c r="H180"/>
  <c r="L181"/>
  <c r="H192"/>
  <c r="L192" s="1"/>
  <c r="L193"/>
  <c r="H314"/>
  <c r="L315"/>
  <c r="L312"/>
  <c r="L620"/>
  <c r="H619"/>
  <c r="L619" s="1"/>
  <c r="H124"/>
  <c r="L125"/>
  <c r="H717"/>
  <c r="L718"/>
  <c r="H479" l="1"/>
  <c r="L479" s="1"/>
  <c r="H134"/>
  <c r="L134" s="1"/>
  <c r="H234"/>
  <c r="L235"/>
  <c r="H101"/>
  <c r="L102"/>
  <c r="H88"/>
  <c r="L88" s="1"/>
  <c r="L89"/>
  <c r="H631"/>
  <c r="L631" s="1"/>
  <c r="L632"/>
  <c r="H305"/>
  <c r="L306"/>
  <c r="H290"/>
  <c r="L293"/>
  <c r="L180"/>
  <c r="H179"/>
  <c r="L179" s="1"/>
  <c r="L76"/>
  <c r="H75"/>
  <c r="H350"/>
  <c r="L350" s="1"/>
  <c r="L351"/>
  <c r="H724"/>
  <c r="L725"/>
  <c r="H338"/>
  <c r="L339"/>
  <c r="H580"/>
  <c r="L581"/>
  <c r="H221"/>
  <c r="L221" s="1"/>
  <c r="L222"/>
  <c r="H313"/>
  <c r="L313" s="1"/>
  <c r="L314"/>
  <c r="H123"/>
  <c r="L124"/>
  <c r="H716"/>
  <c r="L717"/>
  <c r="G173" i="77"/>
  <c r="H478" i="19" l="1"/>
  <c r="L478" s="1"/>
  <c r="H610"/>
  <c r="L610" s="1"/>
  <c r="L234"/>
  <c r="H233"/>
  <c r="L233" s="1"/>
  <c r="L75"/>
  <c r="H56"/>
  <c r="L56" s="1"/>
  <c r="H330"/>
  <c r="L330" s="1"/>
  <c r="L338"/>
  <c r="H304"/>
  <c r="L304" s="1"/>
  <c r="L305"/>
  <c r="H579"/>
  <c r="L579" s="1"/>
  <c r="L580"/>
  <c r="H723"/>
  <c r="L723" s="1"/>
  <c r="L724"/>
  <c r="L290"/>
  <c r="H96"/>
  <c r="L96" s="1"/>
  <c r="L101"/>
  <c r="H122"/>
  <c r="L123"/>
  <c r="L716"/>
  <c r="H715"/>
  <c r="C19" i="63"/>
  <c r="C17" i="27"/>
  <c r="H567" i="60"/>
  <c r="G567"/>
  <c r="G255" i="76"/>
  <c r="H255" s="1"/>
  <c r="G254"/>
  <c r="H254" s="1"/>
  <c r="G608" i="19"/>
  <c r="G401"/>
  <c r="G428" i="76"/>
  <c r="H428" s="1"/>
  <c r="G427"/>
  <c r="G415"/>
  <c r="H415" s="1"/>
  <c r="G414"/>
  <c r="G125"/>
  <c r="H125" s="1"/>
  <c r="G124"/>
  <c r="H124" s="1"/>
  <c r="G167"/>
  <c r="G166" s="1"/>
  <c r="G163" i="19"/>
  <c r="G735"/>
  <c r="K735" s="1"/>
  <c r="G651"/>
  <c r="K651" s="1"/>
  <c r="G638"/>
  <c r="K638" s="1"/>
  <c r="G53"/>
  <c r="K53" s="1"/>
  <c r="G28"/>
  <c r="K28" s="1"/>
  <c r="H287" l="1"/>
  <c r="L287" s="1"/>
  <c r="G607"/>
  <c r="K607" s="1"/>
  <c r="K608"/>
  <c r="L122"/>
  <c r="H87"/>
  <c r="L87" s="1"/>
  <c r="H678"/>
  <c r="L678" s="1"/>
  <c r="L715"/>
  <c r="G566" i="60"/>
  <c r="G413" i="76"/>
  <c r="H414"/>
  <c r="H413" s="1"/>
  <c r="G426"/>
  <c r="H427"/>
  <c r="H426" s="1"/>
  <c r="H123"/>
  <c r="G123"/>
  <c r="H167"/>
  <c r="H166" s="1"/>
  <c r="G240" l="1"/>
  <c r="G758" i="19"/>
  <c r="K758" s="1"/>
  <c r="G455" i="76"/>
  <c r="G681" i="19"/>
  <c r="K681" s="1"/>
  <c r="G103" i="76"/>
  <c r="G104"/>
  <c r="H104" s="1"/>
  <c r="G116" i="19"/>
  <c r="G757" l="1"/>
  <c r="K757" s="1"/>
  <c r="G102" i="76"/>
  <c r="H103"/>
  <c r="H102" s="1"/>
  <c r="G168" i="19"/>
  <c r="G108" i="76"/>
  <c r="H108" s="1"/>
  <c r="H107" s="1"/>
  <c r="G381" i="19"/>
  <c r="G107" i="76" l="1"/>
  <c r="G476"/>
  <c r="G475" s="1"/>
  <c r="G692" i="19"/>
  <c r="K692" s="1"/>
  <c r="H37" i="76"/>
  <c r="H476" l="1"/>
  <c r="H475" s="1"/>
  <c r="G491" l="1"/>
  <c r="G390" l="1"/>
  <c r="G474" l="1"/>
  <c r="G473" s="1"/>
  <c r="G244" l="1"/>
  <c r="G478"/>
  <c r="H478" s="1"/>
  <c r="H477" s="1"/>
  <c r="G238"/>
  <c r="G741" i="19"/>
  <c r="K741" s="1"/>
  <c r="G189" i="76"/>
  <c r="G437" i="19"/>
  <c r="K437" s="1"/>
  <c r="G336" i="76"/>
  <c r="G335" s="1"/>
  <c r="G334"/>
  <c r="H334" s="1"/>
  <c r="H333" s="1"/>
  <c r="G511" i="19"/>
  <c r="K511" s="1"/>
  <c r="G509"/>
  <c r="K509" s="1"/>
  <c r="G436" l="1"/>
  <c r="K436" s="1"/>
  <c r="G477" i="76"/>
  <c r="G333"/>
  <c r="G452"/>
  <c r="G425"/>
  <c r="G628" i="19"/>
  <c r="K628" s="1"/>
  <c r="G425" l="1"/>
  <c r="K425" s="1"/>
  <c r="G333"/>
  <c r="G427" l="1"/>
  <c r="K427" s="1"/>
  <c r="D100" i="15" l="1"/>
  <c r="D16" l="1"/>
  <c r="F16" s="1"/>
  <c r="D58"/>
  <c r="F58" s="1"/>
  <c r="G60" i="76" l="1"/>
  <c r="G24" l="1"/>
  <c r="G245" i="19"/>
  <c r="G460" i="76" l="1"/>
  <c r="G459" s="1"/>
  <c r="G690" i="19"/>
  <c r="K690" s="1"/>
  <c r="G379"/>
  <c r="G106" i="76"/>
  <c r="G105" s="1"/>
  <c r="G378" i="19" l="1"/>
  <c r="G166" l="1"/>
  <c r="G165" l="1"/>
  <c r="G345" i="76" l="1"/>
  <c r="G523" i="19"/>
  <c r="K523" s="1"/>
  <c r="G641"/>
  <c r="K641" s="1"/>
  <c r="G172" i="76" l="1"/>
  <c r="G171" s="1"/>
  <c r="G431" i="19"/>
  <c r="K431" s="1"/>
  <c r="G430" l="1"/>
  <c r="K430" s="1"/>
  <c r="G119" i="76" l="1"/>
  <c r="G429" i="19"/>
  <c r="K429" s="1"/>
  <c r="H244" i="60"/>
  <c r="H242"/>
  <c r="H123"/>
  <c r="H121"/>
  <c r="H127"/>
  <c r="H126"/>
  <c r="G356"/>
  <c r="H344" i="76" l="1"/>
  <c r="H343" s="1"/>
  <c r="G521" i="19"/>
  <c r="K521" s="1"/>
  <c r="G371" i="76"/>
  <c r="G370" s="1"/>
  <c r="G584" i="19"/>
  <c r="K584" s="1"/>
  <c r="G458" i="76"/>
  <c r="G688" i="19"/>
  <c r="K688" s="1"/>
  <c r="H257"/>
  <c r="G268" i="76"/>
  <c r="H268" s="1"/>
  <c r="G407" i="19"/>
  <c r="G367"/>
  <c r="G347"/>
  <c r="G50"/>
  <c r="K50" s="1"/>
  <c r="G25"/>
  <c r="G100" i="76"/>
  <c r="G101"/>
  <c r="G113" i="19"/>
  <c r="L257" l="1"/>
  <c r="H253"/>
  <c r="H367"/>
  <c r="H25"/>
  <c r="K25"/>
  <c r="G343" i="76"/>
  <c r="H371"/>
  <c r="H370" s="1"/>
  <c r="G99"/>
  <c r="H16" i="19" l="1"/>
  <c r="L25"/>
  <c r="H252"/>
  <c r="L252" s="1"/>
  <c r="L253"/>
  <c r="H364"/>
  <c r="L367"/>
  <c r="G258" i="76"/>
  <c r="H258" s="1"/>
  <c r="G257"/>
  <c r="G256"/>
  <c r="H256" s="1"/>
  <c r="G253"/>
  <c r="H253" s="1"/>
  <c r="G243"/>
  <c r="G242"/>
  <c r="G464"/>
  <c r="G463" s="1"/>
  <c r="L364" i="19" l="1"/>
  <c r="H362"/>
  <c r="H363"/>
  <c r="L363" s="1"/>
  <c r="H15"/>
  <c r="L16"/>
  <c r="H257" i="76"/>
  <c r="G234"/>
  <c r="G423" i="19"/>
  <c r="G161" i="76"/>
  <c r="G245"/>
  <c r="H14" i="19" l="1"/>
  <c r="L15"/>
  <c r="H361"/>
  <c r="L361" s="1"/>
  <c r="L362"/>
  <c r="H423"/>
  <c r="K423"/>
  <c r="G472" i="76"/>
  <c r="G471" s="1"/>
  <c r="H417" i="19" l="1"/>
  <c r="L423"/>
  <c r="H13"/>
  <c r="L13" s="1"/>
  <c r="L14"/>
  <c r="H472" i="76"/>
  <c r="H471" s="1"/>
  <c r="G177" i="77"/>
  <c r="G179"/>
  <c r="G522" i="60"/>
  <c r="G526"/>
  <c r="G263" i="76"/>
  <c r="G265"/>
  <c r="G405" i="19"/>
  <c r="G403"/>
  <c r="H370" l="1"/>
  <c r="L417"/>
  <c r="G241" i="76"/>
  <c r="G468"/>
  <c r="G467" s="1"/>
  <c r="G466"/>
  <c r="G465" s="1"/>
  <c r="G469"/>
  <c r="G481"/>
  <c r="G480" s="1"/>
  <c r="G479" s="1"/>
  <c r="G484"/>
  <c r="G483" s="1"/>
  <c r="G482" s="1"/>
  <c r="H248"/>
  <c r="H247" s="1"/>
  <c r="G250"/>
  <c r="H250" s="1"/>
  <c r="H249" s="1"/>
  <c r="G237"/>
  <c r="G267"/>
  <c r="G266" s="1"/>
  <c r="G274"/>
  <c r="G273" s="1"/>
  <c r="G246"/>
  <c r="G262"/>
  <c r="G264"/>
  <c r="H369" i="19" l="1"/>
  <c r="L369" s="1"/>
  <c r="L370"/>
  <c r="G249" i="76"/>
  <c r="G247"/>
  <c r="H466"/>
  <c r="H465" s="1"/>
  <c r="H470"/>
  <c r="H469" s="1"/>
  <c r="G511"/>
  <c r="G513"/>
  <c r="G517"/>
  <c r="G270" l="1"/>
  <c r="G269" s="1"/>
  <c r="G552" i="19" l="1"/>
  <c r="G276"/>
  <c r="K276" s="1"/>
  <c r="G278"/>
  <c r="K278" s="1"/>
  <c r="G551" l="1"/>
  <c r="K551" s="1"/>
  <c r="K552"/>
  <c r="G442"/>
  <c r="G259" i="76"/>
  <c r="G236" s="1"/>
  <c r="G440" i="19" l="1"/>
  <c r="K442"/>
  <c r="G223" i="76"/>
  <c r="G206" i="19"/>
  <c r="G209"/>
  <c r="G214"/>
  <c r="G217"/>
  <c r="G219"/>
  <c r="G224"/>
  <c r="G205" l="1"/>
  <c r="G223"/>
  <c r="G208"/>
  <c r="G439"/>
  <c r="K439" s="1"/>
  <c r="K440"/>
  <c r="G213"/>
  <c r="H212"/>
  <c r="G202"/>
  <c r="G566"/>
  <c r="G572"/>
  <c r="G485"/>
  <c r="K485" s="1"/>
  <c r="G487"/>
  <c r="K487" s="1"/>
  <c r="G489"/>
  <c r="K489" s="1"/>
  <c r="G491"/>
  <c r="G495"/>
  <c r="K495" s="1"/>
  <c r="G497"/>
  <c r="K497" s="1"/>
  <c r="G499"/>
  <c r="K499" s="1"/>
  <c r="G501"/>
  <c r="K501" s="1"/>
  <c r="G503"/>
  <c r="K503" s="1"/>
  <c r="G505"/>
  <c r="K505" s="1"/>
  <c r="G507"/>
  <c r="K507" s="1"/>
  <c r="G513"/>
  <c r="K513" s="1"/>
  <c r="G515"/>
  <c r="K515" s="1"/>
  <c r="G519"/>
  <c r="K519" s="1"/>
  <c r="K526"/>
  <c r="G537"/>
  <c r="K537" s="1"/>
  <c r="G539"/>
  <c r="K539" s="1"/>
  <c r="G535"/>
  <c r="K535" s="1"/>
  <c r="G542"/>
  <c r="G545"/>
  <c r="G549"/>
  <c r="G450"/>
  <c r="G453"/>
  <c r="K453" s="1"/>
  <c r="G456"/>
  <c r="K456" s="1"/>
  <c r="G460"/>
  <c r="G468"/>
  <c r="K468" s="1"/>
  <c r="G466"/>
  <c r="G471"/>
  <c r="G476"/>
  <c r="K476" s="1"/>
  <c r="G559"/>
  <c r="K559" s="1"/>
  <c r="G561"/>
  <c r="K561" s="1"/>
  <c r="G569"/>
  <c r="K569" s="1"/>
  <c r="G574"/>
  <c r="G577"/>
  <c r="G586"/>
  <c r="K586" s="1"/>
  <c r="G589"/>
  <c r="K589" s="1"/>
  <c r="G592"/>
  <c r="K592" s="1"/>
  <c r="G597"/>
  <c r="K597" s="1"/>
  <c r="G595"/>
  <c r="K595" s="1"/>
  <c r="G605"/>
  <c r="G602"/>
  <c r="G624"/>
  <c r="G621"/>
  <c r="G627"/>
  <c r="K627" s="1"/>
  <c r="G635"/>
  <c r="G654"/>
  <c r="K654" s="1"/>
  <c r="G657"/>
  <c r="K657" s="1"/>
  <c r="G660"/>
  <c r="K660" s="1"/>
  <c r="G663"/>
  <c r="K663" s="1"/>
  <c r="G668"/>
  <c r="G617"/>
  <c r="G613"/>
  <c r="K491" l="1"/>
  <c r="G576"/>
  <c r="K576" s="1"/>
  <c r="K577"/>
  <c r="H566"/>
  <c r="K566"/>
  <c r="G634"/>
  <c r="K634" s="1"/>
  <c r="K635"/>
  <c r="G601"/>
  <c r="K601" s="1"/>
  <c r="K602"/>
  <c r="G573"/>
  <c r="K573" s="1"/>
  <c r="K574"/>
  <c r="G222"/>
  <c r="G604"/>
  <c r="K604" s="1"/>
  <c r="K605"/>
  <c r="G459"/>
  <c r="K459" s="1"/>
  <c r="K460"/>
  <c r="G548"/>
  <c r="K549"/>
  <c r="G242" i="77"/>
  <c r="G241" s="1"/>
  <c r="H211" i="19"/>
  <c r="L212"/>
  <c r="G667"/>
  <c r="K668"/>
  <c r="H466"/>
  <c r="K466"/>
  <c r="G541"/>
  <c r="K542"/>
  <c r="G525"/>
  <c r="K525" s="1"/>
  <c r="G567"/>
  <c r="K567" s="1"/>
  <c r="K568"/>
  <c r="G470"/>
  <c r="K470" s="1"/>
  <c r="K471"/>
  <c r="G544"/>
  <c r="K544" s="1"/>
  <c r="K545"/>
  <c r="H572"/>
  <c r="K572"/>
  <c r="G212"/>
  <c r="G287" i="77"/>
  <c r="K450" i="19"/>
  <c r="G616"/>
  <c r="K617"/>
  <c r="G620"/>
  <c r="K620" s="1"/>
  <c r="K621"/>
  <c r="G612"/>
  <c r="K613"/>
  <c r="G623"/>
  <c r="K623" s="1"/>
  <c r="K624"/>
  <c r="H271" i="77"/>
  <c r="H269" s="1"/>
  <c r="G269"/>
  <c r="G475" i="19"/>
  <c r="K475" s="1"/>
  <c r="G582"/>
  <c r="G565"/>
  <c r="K565" s="1"/>
  <c r="G571"/>
  <c r="K571" s="1"/>
  <c r="G465"/>
  <c r="K465" s="1"/>
  <c r="G517"/>
  <c r="K517" s="1"/>
  <c r="G483"/>
  <c r="G481" s="1"/>
  <c r="G447"/>
  <c r="G534"/>
  <c r="K534" s="1"/>
  <c r="G132" i="76"/>
  <c r="H132" s="1"/>
  <c r="G353" i="19"/>
  <c r="G357"/>
  <c r="G359"/>
  <c r="G355"/>
  <c r="G399"/>
  <c r="G419"/>
  <c r="K419" s="1"/>
  <c r="G421"/>
  <c r="K421" s="1"/>
  <c r="G372"/>
  <c r="G374"/>
  <c r="G376"/>
  <c r="G498" i="76"/>
  <c r="G497"/>
  <c r="G499"/>
  <c r="G411" i="19"/>
  <c r="G413"/>
  <c r="G231"/>
  <c r="D95" i="66"/>
  <c r="E60"/>
  <c r="C60"/>
  <c r="E36"/>
  <c r="C36"/>
  <c r="C135" i="29"/>
  <c r="C103"/>
  <c r="C84"/>
  <c r="C85"/>
  <c r="C86"/>
  <c r="C77"/>
  <c r="C55"/>
  <c r="C33"/>
  <c r="G16" i="77"/>
  <c r="G18"/>
  <c r="G17" s="1"/>
  <c r="G20"/>
  <c r="G21"/>
  <c r="G24"/>
  <c r="G23" s="1"/>
  <c r="G26"/>
  <c r="G25" s="1"/>
  <c r="G29"/>
  <c r="G30"/>
  <c r="G33"/>
  <c r="G32" s="1"/>
  <c r="G35"/>
  <c r="G34" s="1"/>
  <c r="G40"/>
  <c r="G41"/>
  <c r="G43"/>
  <c r="G44"/>
  <c r="G49"/>
  <c r="G50"/>
  <c r="G58"/>
  <c r="G57" s="1"/>
  <c r="G60"/>
  <c r="G59" s="1"/>
  <c r="G62"/>
  <c r="G61" s="1"/>
  <c r="G72"/>
  <c r="G71" s="1"/>
  <c r="G74"/>
  <c r="G73" s="1"/>
  <c r="G78"/>
  <c r="G77" s="1"/>
  <c r="G80"/>
  <c r="G79" s="1"/>
  <c r="G82"/>
  <c r="G81" s="1"/>
  <c r="G84"/>
  <c r="G83" s="1"/>
  <c r="G86"/>
  <c r="G85" s="1"/>
  <c r="G88"/>
  <c r="G87" s="1"/>
  <c r="G90"/>
  <c r="G89" s="1"/>
  <c r="G96"/>
  <c r="G95" s="1"/>
  <c r="G98"/>
  <c r="G97" s="1"/>
  <c r="G100"/>
  <c r="G99" s="1"/>
  <c r="G104"/>
  <c r="G103" s="1"/>
  <c r="G110"/>
  <c r="G109" s="1"/>
  <c r="G112"/>
  <c r="G111" s="1"/>
  <c r="G119"/>
  <c r="G121"/>
  <c r="G120" s="1"/>
  <c r="G127"/>
  <c r="G126" s="1"/>
  <c r="G130"/>
  <c r="G131"/>
  <c r="G142"/>
  <c r="G141" s="1"/>
  <c r="G140" s="1"/>
  <c r="G146"/>
  <c r="G147"/>
  <c r="G149"/>
  <c r="G150"/>
  <c r="G152"/>
  <c r="G153"/>
  <c r="G154"/>
  <c r="G155"/>
  <c r="G156"/>
  <c r="G159"/>
  <c r="G160"/>
  <c r="G162"/>
  <c r="G163"/>
  <c r="G174"/>
  <c r="G176"/>
  <c r="G175" s="1"/>
  <c r="G181"/>
  <c r="G183"/>
  <c r="G187"/>
  <c r="G186" s="1"/>
  <c r="G185" s="1"/>
  <c r="H16"/>
  <c r="H26"/>
  <c r="H25" s="1"/>
  <c r="H22" s="1"/>
  <c r="H29"/>
  <c r="H30"/>
  <c r="H33"/>
  <c r="H32" s="1"/>
  <c r="H35"/>
  <c r="H34" s="1"/>
  <c r="H40"/>
  <c r="H41"/>
  <c r="H43"/>
  <c r="H44"/>
  <c r="H49"/>
  <c r="H50"/>
  <c r="H58"/>
  <c r="H57" s="1"/>
  <c r="H60"/>
  <c r="H59" s="1"/>
  <c r="H62"/>
  <c r="H61" s="1"/>
  <c r="H72"/>
  <c r="H71" s="1"/>
  <c r="H74"/>
  <c r="H73" s="1"/>
  <c r="H78"/>
  <c r="H77" s="1"/>
  <c r="H80"/>
  <c r="H79" s="1"/>
  <c r="H82"/>
  <c r="H81" s="1"/>
  <c r="H84"/>
  <c r="H83" s="1"/>
  <c r="H86"/>
  <c r="H85" s="1"/>
  <c r="H88"/>
  <c r="H87" s="1"/>
  <c r="H90"/>
  <c r="H89" s="1"/>
  <c r="H96"/>
  <c r="H95" s="1"/>
  <c r="H98"/>
  <c r="H97" s="1"/>
  <c r="H100"/>
  <c r="H99" s="1"/>
  <c r="H104"/>
  <c r="H103" s="1"/>
  <c r="H110"/>
  <c r="H109" s="1"/>
  <c r="H112"/>
  <c r="H111" s="1"/>
  <c r="H119"/>
  <c r="H121"/>
  <c r="H120" s="1"/>
  <c r="H127"/>
  <c r="H126" s="1"/>
  <c r="H130"/>
  <c r="H131"/>
  <c r="H142"/>
  <c r="H141" s="1"/>
  <c r="H140" s="1"/>
  <c r="H146"/>
  <c r="H147"/>
  <c r="H149"/>
  <c r="H150"/>
  <c r="H152"/>
  <c r="H153"/>
  <c r="H154"/>
  <c r="H155"/>
  <c r="H156"/>
  <c r="H159"/>
  <c r="H160"/>
  <c r="H162"/>
  <c r="H163"/>
  <c r="H174"/>
  <c r="H176"/>
  <c r="H175" s="1"/>
  <c r="H182"/>
  <c r="H181" s="1"/>
  <c r="H183"/>
  <c r="H187"/>
  <c r="H186" s="1"/>
  <c r="H185" s="1"/>
  <c r="H115"/>
  <c r="G115"/>
  <c r="H75"/>
  <c r="G75"/>
  <c r="H65"/>
  <c r="G65"/>
  <c r="H63"/>
  <c r="G63"/>
  <c r="H51"/>
  <c r="G51"/>
  <c r="G659" i="76"/>
  <c r="G538"/>
  <c r="G537" s="1"/>
  <c r="G64"/>
  <c r="G63" s="1"/>
  <c r="G387" i="19"/>
  <c r="G391"/>
  <c r="G393"/>
  <c r="G396"/>
  <c r="G415"/>
  <c r="G261"/>
  <c r="G264"/>
  <c r="K264" s="1"/>
  <c r="G266"/>
  <c r="K266" s="1"/>
  <c r="G341"/>
  <c r="G194" i="76"/>
  <c r="G161" i="19"/>
  <c r="G163" i="76"/>
  <c r="G92" i="19"/>
  <c r="K92" s="1"/>
  <c r="G120"/>
  <c r="G104"/>
  <c r="K104" s="1"/>
  <c r="G110"/>
  <c r="G132"/>
  <c r="G126"/>
  <c r="G173"/>
  <c r="G175"/>
  <c r="G182"/>
  <c r="G184"/>
  <c r="G187"/>
  <c r="G189"/>
  <c r="G196"/>
  <c r="G198"/>
  <c r="G237"/>
  <c r="G36" i="76"/>
  <c r="G248" i="19"/>
  <c r="G250"/>
  <c r="G288"/>
  <c r="K288" s="1"/>
  <c r="G295"/>
  <c r="G302"/>
  <c r="G299"/>
  <c r="G148" i="76"/>
  <c r="H148" s="1"/>
  <c r="G147"/>
  <c r="H147" s="1"/>
  <c r="G156"/>
  <c r="H156" s="1"/>
  <c r="G157"/>
  <c r="H157" s="1"/>
  <c r="G308" i="19"/>
  <c r="G310"/>
  <c r="G365"/>
  <c r="G673"/>
  <c r="K673" s="1"/>
  <c r="G676"/>
  <c r="G686"/>
  <c r="K686" s="1"/>
  <c r="G684"/>
  <c r="K684" s="1"/>
  <c r="G709"/>
  <c r="K709" s="1"/>
  <c r="G711"/>
  <c r="K711" s="1"/>
  <c r="G713"/>
  <c r="K713" s="1"/>
  <c r="G719"/>
  <c r="K719" s="1"/>
  <c r="G721"/>
  <c r="K721" s="1"/>
  <c r="G732"/>
  <c r="K732" s="1"/>
  <c r="G739"/>
  <c r="G755"/>
  <c r="K755" s="1"/>
  <c r="G515" i="76"/>
  <c r="G32" i="19"/>
  <c r="G36"/>
  <c r="K36" s="1"/>
  <c r="G62"/>
  <c r="K62" s="1"/>
  <c r="G69"/>
  <c r="G79"/>
  <c r="G84"/>
  <c r="G73"/>
  <c r="G217" i="76"/>
  <c r="G216" s="1"/>
  <c r="G209"/>
  <c r="G211"/>
  <c r="H211" s="1"/>
  <c r="G212"/>
  <c r="H212" s="1"/>
  <c r="G12"/>
  <c r="G11" s="1"/>
  <c r="G17"/>
  <c r="G20"/>
  <c r="G19" s="1"/>
  <c r="G23"/>
  <c r="G25"/>
  <c r="G27"/>
  <c r="G26" s="1"/>
  <c r="G29"/>
  <c r="G28" s="1"/>
  <c r="G33"/>
  <c r="G32" s="1"/>
  <c r="G40"/>
  <c r="G39" s="1"/>
  <c r="G43"/>
  <c r="H43" s="1"/>
  <c r="H42" s="1"/>
  <c r="G45"/>
  <c r="G44" s="1"/>
  <c r="G51"/>
  <c r="G52"/>
  <c r="H52" s="1"/>
  <c r="G66"/>
  <c r="G65" s="1"/>
  <c r="G71"/>
  <c r="G72"/>
  <c r="G74"/>
  <c r="G73" s="1"/>
  <c r="G76"/>
  <c r="G75" s="1"/>
  <c r="G87"/>
  <c r="G88"/>
  <c r="G89"/>
  <c r="G91"/>
  <c r="G92"/>
  <c r="G93"/>
  <c r="G94"/>
  <c r="G95"/>
  <c r="G97"/>
  <c r="H97" s="1"/>
  <c r="G98"/>
  <c r="H98" s="1"/>
  <c r="G110"/>
  <c r="G111"/>
  <c r="G117"/>
  <c r="G121"/>
  <c r="H121" s="1"/>
  <c r="G122"/>
  <c r="H122" s="1"/>
  <c r="G128"/>
  <c r="G127" s="1"/>
  <c r="G131"/>
  <c r="G135"/>
  <c r="H135" s="1"/>
  <c r="G136"/>
  <c r="H136" s="1"/>
  <c r="G137"/>
  <c r="H137" s="1"/>
  <c r="G139"/>
  <c r="H139" s="1"/>
  <c r="G140"/>
  <c r="H140" s="1"/>
  <c r="G141"/>
  <c r="H141" s="1"/>
  <c r="G143"/>
  <c r="G144"/>
  <c r="H144" s="1"/>
  <c r="G146"/>
  <c r="H146" s="1"/>
  <c r="G151"/>
  <c r="H151" s="1"/>
  <c r="G152"/>
  <c r="H152" s="1"/>
  <c r="G154"/>
  <c r="H154" s="1"/>
  <c r="G158"/>
  <c r="H158" s="1"/>
  <c r="G162"/>
  <c r="G165"/>
  <c r="H165" s="1"/>
  <c r="G170"/>
  <c r="G169" s="1"/>
  <c r="G175"/>
  <c r="G174" s="1"/>
  <c r="G177"/>
  <c r="H177" s="1"/>
  <c r="G178"/>
  <c r="H178" s="1"/>
  <c r="G180"/>
  <c r="G179" s="1"/>
  <c r="G182"/>
  <c r="H182" s="1"/>
  <c r="G183"/>
  <c r="G186"/>
  <c r="G188"/>
  <c r="G191"/>
  <c r="G192"/>
  <c r="G200"/>
  <c r="G202"/>
  <c r="G201" s="1"/>
  <c r="G204"/>
  <c r="G203" s="1"/>
  <c r="G199"/>
  <c r="G198" s="1"/>
  <c r="G225"/>
  <c r="G224" s="1"/>
  <c r="G227"/>
  <c r="G226" s="1"/>
  <c r="G229"/>
  <c r="G231"/>
  <c r="G230" s="1"/>
  <c r="G233"/>
  <c r="G232" s="1"/>
  <c r="G277"/>
  <c r="G278"/>
  <c r="G281"/>
  <c r="G280" s="1"/>
  <c r="G283"/>
  <c r="G282" s="1"/>
  <c r="G288"/>
  <c r="G289"/>
  <c r="G291"/>
  <c r="H291" s="1"/>
  <c r="G292"/>
  <c r="H292" s="1"/>
  <c r="G294"/>
  <c r="H294" s="1"/>
  <c r="G295"/>
  <c r="H295" s="1"/>
  <c r="G297"/>
  <c r="H297" s="1"/>
  <c r="G298"/>
  <c r="H298" s="1"/>
  <c r="G300"/>
  <c r="G299" s="1"/>
  <c r="G304"/>
  <c r="G303" s="1"/>
  <c r="G306"/>
  <c r="G305" s="1"/>
  <c r="G308"/>
  <c r="H308" s="1"/>
  <c r="H307" s="1"/>
  <c r="G310"/>
  <c r="G309" s="1"/>
  <c r="G312"/>
  <c r="H312" s="1"/>
  <c r="H311" s="1"/>
  <c r="G314"/>
  <c r="G313" s="1"/>
  <c r="G320"/>
  <c r="G322"/>
  <c r="G321" s="1"/>
  <c r="G326"/>
  <c r="H326" s="1"/>
  <c r="H325" s="1"/>
  <c r="G328"/>
  <c r="G327" s="1"/>
  <c r="G330"/>
  <c r="G332"/>
  <c r="G331" s="1"/>
  <c r="G338"/>
  <c r="H338" s="1"/>
  <c r="H337" s="1"/>
  <c r="G340"/>
  <c r="G339" s="1"/>
  <c r="G342"/>
  <c r="G348"/>
  <c r="G347" s="1"/>
  <c r="G352"/>
  <c r="G351" s="1"/>
  <c r="G354"/>
  <c r="G353" s="1"/>
  <c r="G356"/>
  <c r="G355" s="1"/>
  <c r="G358"/>
  <c r="H358" s="1"/>
  <c r="H357" s="1"/>
  <c r="G360"/>
  <c r="G359" s="1"/>
  <c r="G366"/>
  <c r="G365" s="1"/>
  <c r="G362"/>
  <c r="G369"/>
  <c r="G373"/>
  <c r="H373" s="1"/>
  <c r="G374"/>
  <c r="H374" s="1"/>
  <c r="G377"/>
  <c r="G376"/>
  <c r="G379"/>
  <c r="H379" s="1"/>
  <c r="G380"/>
  <c r="H380" s="1"/>
  <c r="G382"/>
  <c r="H382" s="1"/>
  <c r="G383"/>
  <c r="H383" s="1"/>
  <c r="G407"/>
  <c r="G406"/>
  <c r="G411"/>
  <c r="G412"/>
  <c r="G417"/>
  <c r="G419"/>
  <c r="G420"/>
  <c r="G421"/>
  <c r="G422"/>
  <c r="G424"/>
  <c r="G423"/>
  <c r="G418"/>
  <c r="G430"/>
  <c r="H430" s="1"/>
  <c r="G431"/>
  <c r="H431" s="1"/>
  <c r="G433"/>
  <c r="H433" s="1"/>
  <c r="G434"/>
  <c r="H434" s="1"/>
  <c r="G436"/>
  <c r="G437"/>
  <c r="H437" s="1"/>
  <c r="G439"/>
  <c r="G440"/>
  <c r="G388"/>
  <c r="G389"/>
  <c r="G398"/>
  <c r="H398" s="1"/>
  <c r="G397"/>
  <c r="H397" s="1"/>
  <c r="H396" s="1"/>
  <c r="G400"/>
  <c r="G399" s="1"/>
  <c r="G403"/>
  <c r="G402" s="1"/>
  <c r="G395"/>
  <c r="G394" s="1"/>
  <c r="G401"/>
  <c r="G443"/>
  <c r="G442" s="1"/>
  <c r="G441" s="1"/>
  <c r="G447"/>
  <c r="G446" s="1"/>
  <c r="G449"/>
  <c r="G448" s="1"/>
  <c r="G453"/>
  <c r="G454"/>
  <c r="G456"/>
  <c r="G462"/>
  <c r="G461" s="1"/>
  <c r="G490"/>
  <c r="G487"/>
  <c r="G492"/>
  <c r="H252"/>
  <c r="H266"/>
  <c r="H246"/>
  <c r="H263"/>
  <c r="H262" s="1"/>
  <c r="H259"/>
  <c r="H458"/>
  <c r="H457" s="1"/>
  <c r="G457"/>
  <c r="H438"/>
  <c r="I408"/>
  <c r="H404"/>
  <c r="G384"/>
  <c r="H384" s="1"/>
  <c r="G363"/>
  <c r="H359"/>
  <c r="H353"/>
  <c r="I349"/>
  <c r="G324"/>
  <c r="G323" s="1"/>
  <c r="H317"/>
  <c r="G317"/>
  <c r="G315"/>
  <c r="H287"/>
  <c r="H276"/>
  <c r="H273"/>
  <c r="H269"/>
  <c r="H267"/>
  <c r="H201"/>
  <c r="A138"/>
  <c r="H70"/>
  <c r="H69" s="1"/>
  <c r="H62"/>
  <c r="H53"/>
  <c r="H39"/>
  <c r="H12"/>
  <c r="H11" s="1"/>
  <c r="D16" i="61"/>
  <c r="C16"/>
  <c r="D14"/>
  <c r="D12" i="15"/>
  <c r="F12" s="1"/>
  <c r="D85"/>
  <c r="F85" s="1"/>
  <c r="D112"/>
  <c r="C20" i="21"/>
  <c r="C15"/>
  <c r="H564" i="60"/>
  <c r="H563" s="1"/>
  <c r="G564"/>
  <c r="H559"/>
  <c r="H558" s="1"/>
  <c r="H557" s="1"/>
  <c r="H556" s="1"/>
  <c r="H555" s="1"/>
  <c r="F27" i="65" s="1"/>
  <c r="H553" i="60"/>
  <c r="G553"/>
  <c r="H551"/>
  <c r="G551"/>
  <c r="H546"/>
  <c r="G546"/>
  <c r="H544"/>
  <c r="G544"/>
  <c r="G540"/>
  <c r="G536" s="1"/>
  <c r="H527"/>
  <c r="G527"/>
  <c r="H525"/>
  <c r="G525"/>
  <c r="H172" i="77"/>
  <c r="H511" i="60"/>
  <c r="H510" s="1"/>
  <c r="G509"/>
  <c r="H483"/>
  <c r="H482" s="1"/>
  <c r="G483"/>
  <c r="G482" s="1"/>
  <c r="H479"/>
  <c r="G479"/>
  <c r="H476"/>
  <c r="G476"/>
  <c r="H462"/>
  <c r="H461" s="1"/>
  <c r="G462"/>
  <c r="G461" s="1"/>
  <c r="G460" s="1"/>
  <c r="H456"/>
  <c r="H455" s="1"/>
  <c r="G456"/>
  <c r="G455" s="1"/>
  <c r="H441"/>
  <c r="G441"/>
  <c r="H439"/>
  <c r="G439"/>
  <c r="H437"/>
  <c r="G437"/>
  <c r="H423"/>
  <c r="G423"/>
  <c r="H421"/>
  <c r="G421"/>
  <c r="H419"/>
  <c r="G419"/>
  <c r="H379"/>
  <c r="G379"/>
  <c r="H377"/>
  <c r="G377"/>
  <c r="H375"/>
  <c r="G375"/>
  <c r="H371"/>
  <c r="G371"/>
  <c r="H369"/>
  <c r="G369"/>
  <c r="H367"/>
  <c r="G367"/>
  <c r="H365"/>
  <c r="G365"/>
  <c r="H363"/>
  <c r="G363"/>
  <c r="H361"/>
  <c r="G361"/>
  <c r="H359"/>
  <c r="G359"/>
  <c r="H357"/>
  <c r="G357"/>
  <c r="H355"/>
  <c r="G355"/>
  <c r="H353"/>
  <c r="G353"/>
  <c r="H351"/>
  <c r="G351"/>
  <c r="H349"/>
  <c r="G349"/>
  <c r="H347"/>
  <c r="G347"/>
  <c r="G345"/>
  <c r="G56" i="77"/>
  <c r="G55" s="1"/>
  <c r="H319" i="60"/>
  <c r="G319"/>
  <c r="H316"/>
  <c r="G316"/>
  <c r="G310" s="1"/>
  <c r="H296"/>
  <c r="G296"/>
  <c r="H295"/>
  <c r="H294" s="1"/>
  <c r="G294"/>
  <c r="H291"/>
  <c r="H287"/>
  <c r="G287"/>
  <c r="G286" s="1"/>
  <c r="G285" s="1"/>
  <c r="G284" s="1"/>
  <c r="H241"/>
  <c r="H240"/>
  <c r="G236"/>
  <c r="G216"/>
  <c r="G215" s="1"/>
  <c r="G214" s="1"/>
  <c r="D42" i="65" s="1"/>
  <c r="H188" i="60"/>
  <c r="H187"/>
  <c r="H170"/>
  <c r="H169" s="1"/>
  <c r="H158" s="1"/>
  <c r="H20" i="77"/>
  <c r="G143" i="60"/>
  <c r="G141"/>
  <c r="H134"/>
  <c r="H133" s="1"/>
  <c r="H129" s="1"/>
  <c r="F20" i="65" s="1"/>
  <c r="G134" i="60"/>
  <c r="G133" s="1"/>
  <c r="H125"/>
  <c r="H120"/>
  <c r="H116"/>
  <c r="H114"/>
  <c r="G114"/>
  <c r="H112"/>
  <c r="H110"/>
  <c r="G110"/>
  <c r="H108"/>
  <c r="G108"/>
  <c r="H103"/>
  <c r="H102" s="1"/>
  <c r="F17" i="65" s="1"/>
  <c r="G103" i="60"/>
  <c r="G102" s="1"/>
  <c r="H87"/>
  <c r="H86" s="1"/>
  <c r="H85" s="1"/>
  <c r="H84" s="1"/>
  <c r="H80"/>
  <c r="H79" s="1"/>
  <c r="H78" s="1"/>
  <c r="H77" s="1"/>
  <c r="H70"/>
  <c r="H69" s="1"/>
  <c r="G70"/>
  <c r="G69" s="1"/>
  <c r="G68" s="1"/>
  <c r="G67" s="1"/>
  <c r="H62"/>
  <c r="H61" s="1"/>
  <c r="G62"/>
  <c r="G61" s="1"/>
  <c r="G60" s="1"/>
  <c r="G59" s="1"/>
  <c r="H55"/>
  <c r="H54" s="1"/>
  <c r="G55"/>
  <c r="G54" s="1"/>
  <c r="G51"/>
  <c r="H48"/>
  <c r="H47" s="1"/>
  <c r="G48"/>
  <c r="G47" s="1"/>
  <c r="H38"/>
  <c r="G38"/>
  <c r="H34"/>
  <c r="G34"/>
  <c r="H30"/>
  <c r="H29" s="1"/>
  <c r="G30"/>
  <c r="G29" s="1"/>
  <c r="H25"/>
  <c r="H24" s="1"/>
  <c r="G25"/>
  <c r="G24" s="1"/>
  <c r="H21"/>
  <c r="G21"/>
  <c r="H17"/>
  <c r="G17"/>
  <c r="G707" i="19"/>
  <c r="K707" s="1"/>
  <c r="G563"/>
  <c r="K563" s="1"/>
  <c r="G527"/>
  <c r="K527" s="1"/>
  <c r="G461"/>
  <c r="K461" s="1"/>
  <c r="F29" i="65"/>
  <c r="F28" s="1"/>
  <c r="F41"/>
  <c r="E13"/>
  <c r="E14"/>
  <c r="E15"/>
  <c r="E16"/>
  <c r="E17"/>
  <c r="E18"/>
  <c r="E20"/>
  <c r="E19" s="1"/>
  <c r="E22"/>
  <c r="E24"/>
  <c r="E27"/>
  <c r="E25" s="1"/>
  <c r="E28"/>
  <c r="E31"/>
  <c r="E33"/>
  <c r="E34"/>
  <c r="E37"/>
  <c r="E36" s="1"/>
  <c r="E41"/>
  <c r="E42"/>
  <c r="E44"/>
  <c r="E46"/>
  <c r="E47"/>
  <c r="E50"/>
  <c r="E49" s="1"/>
  <c r="E52"/>
  <c r="E15" i="17"/>
  <c r="E17"/>
  <c r="E20"/>
  <c r="E19" s="1"/>
  <c r="E22"/>
  <c r="E23"/>
  <c r="E24"/>
  <c r="E31"/>
  <c r="E30" s="1"/>
  <c r="E43"/>
  <c r="E41" s="1"/>
  <c r="E55"/>
  <c r="E56"/>
  <c r="E65"/>
  <c r="E28"/>
  <c r="E47"/>
  <c r="E46" s="1"/>
  <c r="E51"/>
  <c r="E50" s="1"/>
  <c r="E44"/>
  <c r="E37"/>
  <c r="F36"/>
  <c r="F32"/>
  <c r="E25"/>
  <c r="W99" i="58"/>
  <c r="V99"/>
  <c r="U99"/>
  <c r="O99"/>
  <c r="N99"/>
  <c r="M99"/>
  <c r="Y97"/>
  <c r="Q97"/>
  <c r="X96"/>
  <c r="Y96" s="1"/>
  <c r="Q96"/>
  <c r="Y95"/>
  <c r="Q95"/>
  <c r="Y94"/>
  <c r="Q94"/>
  <c r="X93"/>
  <c r="Y93" s="1"/>
  <c r="Q93"/>
  <c r="Y92"/>
  <c r="Q92"/>
  <c r="Y91"/>
  <c r="Q91"/>
  <c r="Y90"/>
  <c r="Q90"/>
  <c r="X89"/>
  <c r="Y89" s="1"/>
  <c r="Q89"/>
  <c r="Y88"/>
  <c r="Q88"/>
  <c r="Y87"/>
  <c r="Q87"/>
  <c r="Y86"/>
  <c r="Q86"/>
  <c r="Y85"/>
  <c r="Q85"/>
  <c r="X83"/>
  <c r="Q83"/>
  <c r="Y82"/>
  <c r="Q82"/>
  <c r="E73"/>
  <c r="I73" s="1"/>
  <c r="D73"/>
  <c r="H73" s="1"/>
  <c r="E46"/>
  <c r="I46" s="1"/>
  <c r="D46"/>
  <c r="H46" s="1"/>
  <c r="E16"/>
  <c r="I16" s="1"/>
  <c r="D16"/>
  <c r="H16" s="1"/>
  <c r="E13"/>
  <c r="I13" s="1"/>
  <c r="D13"/>
  <c r="H13" s="1"/>
  <c r="I152" i="15"/>
  <c r="G153"/>
  <c r="I138"/>
  <c r="I143"/>
  <c r="I147"/>
  <c r="I150"/>
  <c r="I151"/>
  <c r="I149"/>
  <c r="I148"/>
  <c r="I146"/>
  <c r="I145"/>
  <c r="I144"/>
  <c r="I142"/>
  <c r="I141"/>
  <c r="I140"/>
  <c r="I139"/>
  <c r="I136"/>
  <c r="K261" i="19" l="1"/>
  <c r="G258"/>
  <c r="K258" s="1"/>
  <c r="G633"/>
  <c r="G632" s="1"/>
  <c r="K481"/>
  <c r="G341" i="60"/>
  <c r="G77" i="19"/>
  <c r="K79"/>
  <c r="G675"/>
  <c r="K675" s="1"/>
  <c r="K676"/>
  <c r="G230"/>
  <c r="G267" i="77"/>
  <c r="K483" i="19"/>
  <c r="G211"/>
  <c r="G243" i="77"/>
  <c r="G240" s="1"/>
  <c r="G239" s="1"/>
  <c r="K541" i="19"/>
  <c r="G666"/>
  <c r="K666" s="1"/>
  <c r="K667"/>
  <c r="G221"/>
  <c r="H565"/>
  <c r="L566"/>
  <c r="G387" i="76"/>
  <c r="G386" s="1"/>
  <c r="G385" s="1"/>
  <c r="G72" i="19"/>
  <c r="K73"/>
  <c r="G364"/>
  <c r="G301"/>
  <c r="G131"/>
  <c r="G91"/>
  <c r="K91" s="1"/>
  <c r="G533"/>
  <c r="K533" s="1"/>
  <c r="G619"/>
  <c r="K619" s="1"/>
  <c r="H242" i="77"/>
  <c r="H241" s="1"/>
  <c r="H239" s="1"/>
  <c r="G31" i="19"/>
  <c r="K31" s="1"/>
  <c r="K32"/>
  <c r="G172"/>
  <c r="G68"/>
  <c r="K68" s="1"/>
  <c r="K69"/>
  <c r="G298"/>
  <c r="G119"/>
  <c r="G83"/>
  <c r="K83" s="1"/>
  <c r="K84"/>
  <c r="G738"/>
  <c r="K738" s="1"/>
  <c r="K739"/>
  <c r="G294"/>
  <c r="K294" s="1"/>
  <c r="G512" i="76"/>
  <c r="G395" i="19"/>
  <c r="G446"/>
  <c r="K446" s="1"/>
  <c r="K447"/>
  <c r="G581"/>
  <c r="K582"/>
  <c r="H571"/>
  <c r="L571" s="1"/>
  <c r="L572"/>
  <c r="H465"/>
  <c r="L466"/>
  <c r="H201"/>
  <c r="L211"/>
  <c r="G547"/>
  <c r="K547" s="1"/>
  <c r="K548"/>
  <c r="G611"/>
  <c r="K611" s="1"/>
  <c r="K612"/>
  <c r="G615"/>
  <c r="K615" s="1"/>
  <c r="K616"/>
  <c r="G125"/>
  <c r="G54" i="77"/>
  <c r="G53" s="1"/>
  <c r="H393" i="76"/>
  <c r="H392" s="1"/>
  <c r="G563" i="60"/>
  <c r="D29" i="65"/>
  <c r="D28" s="1"/>
  <c r="H107" i="60"/>
  <c r="H106" s="1"/>
  <c r="H105" s="1"/>
  <c r="E12" i="65"/>
  <c r="E11" s="1"/>
  <c r="F12"/>
  <c r="H185" i="60"/>
  <c r="H248" i="77"/>
  <c r="H246" s="1"/>
  <c r="H245" s="1"/>
  <c r="G107" i="60"/>
  <c r="G106" s="1"/>
  <c r="G105" s="1"/>
  <c r="G416" i="76"/>
  <c r="G410"/>
  <c r="G129" i="60"/>
  <c r="G102" i="77"/>
  <c r="G101" s="1"/>
  <c r="H102"/>
  <c r="H101" s="1"/>
  <c r="G22" i="76"/>
  <c r="G21" s="1"/>
  <c r="G451"/>
  <c r="G450" s="1"/>
  <c r="H251"/>
  <c r="G109"/>
  <c r="D17" i="65"/>
  <c r="H535" i="60"/>
  <c r="F24" i="65" s="1"/>
  <c r="G535" i="60"/>
  <c r="D24" i="65" s="1"/>
  <c r="G459" i="60"/>
  <c r="G458" s="1"/>
  <c r="G454" s="1"/>
  <c r="G453" s="1"/>
  <c r="D35" i="65" s="1"/>
  <c r="H460" i="60"/>
  <c r="H459" s="1"/>
  <c r="H458" s="1"/>
  <c r="H454" s="1"/>
  <c r="H453" s="1"/>
  <c r="G550"/>
  <c r="G549" s="1"/>
  <c r="D26" i="65" s="1"/>
  <c r="H418" i="60"/>
  <c r="H415" s="1"/>
  <c r="G418"/>
  <c r="H184"/>
  <c r="G474" i="19"/>
  <c r="K474" s="1"/>
  <c r="G464"/>
  <c r="K464" s="1"/>
  <c r="H286" i="60"/>
  <c r="H285" s="1"/>
  <c r="H284" s="1"/>
  <c r="H283" s="1"/>
  <c r="G672" i="19"/>
  <c r="H673"/>
  <c r="G680"/>
  <c r="G103"/>
  <c r="K103" s="1"/>
  <c r="G222" i="76"/>
  <c r="G417" i="19"/>
  <c r="H51" i="60"/>
  <c r="H46" s="1"/>
  <c r="H45" s="1"/>
  <c r="G219" i="76"/>
  <c r="G218" s="1"/>
  <c r="G215" s="1"/>
  <c r="H33" i="60"/>
  <c r="H28" s="1"/>
  <c r="H27" s="1"/>
  <c r="F31" i="17"/>
  <c r="H192" i="60"/>
  <c r="F42" i="65"/>
  <c r="G16" i="60"/>
  <c r="G15" s="1"/>
  <c r="D13" i="65" s="1"/>
  <c r="G33" i="60"/>
  <c r="G28" s="1"/>
  <c r="G27" s="1"/>
  <c r="H310"/>
  <c r="H309" s="1"/>
  <c r="H308" s="1"/>
  <c r="H435"/>
  <c r="H434" s="1"/>
  <c r="H433" s="1"/>
  <c r="H432" s="1"/>
  <c r="D52" i="65"/>
  <c r="F19"/>
  <c r="H16" i="60"/>
  <c r="H15" s="1"/>
  <c r="F13" i="65" s="1"/>
  <c r="G374" i="60"/>
  <c r="G373" s="1"/>
  <c r="G19" i="77"/>
  <c r="G15" s="1"/>
  <c r="G283" i="60"/>
  <c r="D50" i="65"/>
  <c r="D49" s="1"/>
  <c r="G195" i="76"/>
  <c r="G193" s="1"/>
  <c r="G185" s="1"/>
  <c r="I137" i="15"/>
  <c r="G174" i="60"/>
  <c r="G226"/>
  <c r="D43" i="65" s="1"/>
  <c r="H246" i="60"/>
  <c r="H374"/>
  <c r="H373" s="1"/>
  <c r="G58"/>
  <c r="G139"/>
  <c r="H226"/>
  <c r="F43" i="65" s="1"/>
  <c r="G309" i="60"/>
  <c r="G308" s="1"/>
  <c r="D31" i="65" s="1"/>
  <c r="G340" i="60"/>
  <c r="G435"/>
  <c r="G434" s="1"/>
  <c r="G433" s="1"/>
  <c r="G432" s="1"/>
  <c r="G118" i="76"/>
  <c r="G558" i="19"/>
  <c r="G116" i="76"/>
  <c r="G727" i="19"/>
  <c r="K727" s="1"/>
  <c r="G53" i="76"/>
  <c r="G390" i="19"/>
  <c r="G42" i="77"/>
  <c r="G78" i="19"/>
  <c r="K78" s="1"/>
  <c r="G114" i="76"/>
  <c r="G398" i="19"/>
  <c r="D12" i="58"/>
  <c r="H12" s="1"/>
  <c r="H60" i="60"/>
  <c r="H550"/>
  <c r="H549" s="1"/>
  <c r="G385" i="19"/>
  <c r="D11" i="15"/>
  <c r="G134" i="76"/>
  <c r="H134" s="1"/>
  <c r="H133" s="1"/>
  <c r="H174" i="60"/>
  <c r="G46"/>
  <c r="G45" s="1"/>
  <c r="G182"/>
  <c r="H236"/>
  <c r="G293"/>
  <c r="G290" s="1"/>
  <c r="D53" i="65" s="1"/>
  <c r="G235" i="60"/>
  <c r="G234" s="1"/>
  <c r="D44" i="65" s="1"/>
  <c r="H293" i="60"/>
  <c r="H290" s="1"/>
  <c r="F53" i="65" s="1"/>
  <c r="G196" i="76"/>
  <c r="G344" i="19"/>
  <c r="H199" i="76"/>
  <c r="H198" s="1"/>
  <c r="H27"/>
  <c r="H26" s="1"/>
  <c r="H22" s="1"/>
  <c r="H21" s="1"/>
  <c r="H310"/>
  <c r="H309" s="1"/>
  <c r="H128"/>
  <c r="H127" s="1"/>
  <c r="H33"/>
  <c r="H32" s="1"/>
  <c r="G65" i="19"/>
  <c r="G147"/>
  <c r="G389"/>
  <c r="G17"/>
  <c r="K17" s="1"/>
  <c r="G152"/>
  <c r="G82"/>
  <c r="K82" s="1"/>
  <c r="H281" i="76"/>
  <c r="H280" s="1"/>
  <c r="H279" s="1"/>
  <c r="H275" s="1"/>
  <c r="G718" i="19"/>
  <c r="G244"/>
  <c r="G384"/>
  <c r="H180" i="76"/>
  <c r="H179" s="1"/>
  <c r="G213"/>
  <c r="G326" i="19"/>
  <c r="G171"/>
  <c r="G45"/>
  <c r="K45" s="1"/>
  <c r="G21"/>
  <c r="K21" s="1"/>
  <c r="G35"/>
  <c r="K35" s="1"/>
  <c r="D42" i="17"/>
  <c r="E12"/>
  <c r="H18" i="76"/>
  <c r="H17" s="1"/>
  <c r="H16" s="1"/>
  <c r="H96"/>
  <c r="H90" s="1"/>
  <c r="G181" i="19"/>
  <c r="G405" i="76"/>
  <c r="G404" s="1"/>
  <c r="G130"/>
  <c r="H130" s="1"/>
  <c r="G40" i="19"/>
  <c r="K40" s="1"/>
  <c r="G514" i="76"/>
  <c r="G143" i="19"/>
  <c r="D53" i="17"/>
  <c r="D52" s="1"/>
  <c r="G113" i="76"/>
  <c r="G705" i="19"/>
  <c r="G307"/>
  <c r="H348" i="76"/>
  <c r="H347" s="1"/>
  <c r="H462"/>
  <c r="H461" s="1"/>
  <c r="H451" s="1"/>
  <c r="H300"/>
  <c r="H299" s="1"/>
  <c r="H158" i="77"/>
  <c r="G158"/>
  <c r="G48"/>
  <c r="H39"/>
  <c r="H28"/>
  <c r="G22"/>
  <c r="E45" i="65"/>
  <c r="G28" i="77"/>
  <c r="E40" i="65"/>
  <c r="H148" i="77"/>
  <c r="G161"/>
  <c r="G293" i="76"/>
  <c r="G50"/>
  <c r="J416"/>
  <c r="H204"/>
  <c r="H203" s="1"/>
  <c r="H161" i="77"/>
  <c r="H42"/>
  <c r="G129"/>
  <c r="G118" s="1"/>
  <c r="G117" s="1"/>
  <c r="G39"/>
  <c r="G31"/>
  <c r="H447" i="76"/>
  <c r="H446" s="1"/>
  <c r="H445" s="1"/>
  <c r="H444" s="1"/>
  <c r="H366"/>
  <c r="H365" s="1"/>
  <c r="H51"/>
  <c r="H50" s="1"/>
  <c r="H31" i="77"/>
  <c r="H306" i="76"/>
  <c r="H305" s="1"/>
  <c r="H225"/>
  <c r="H224" s="1"/>
  <c r="H74"/>
  <c r="H73" s="1"/>
  <c r="G145" i="77"/>
  <c r="G94"/>
  <c r="G93" s="1"/>
  <c r="H153" i="15"/>
  <c r="H56" i="77"/>
  <c r="H55" s="1"/>
  <c r="H54" s="1"/>
  <c r="H53" s="1"/>
  <c r="H341" i="60"/>
  <c r="H340" s="1"/>
  <c r="G38" i="76"/>
  <c r="G37" s="1"/>
  <c r="Y83" i="58"/>
  <c r="H18" i="77"/>
  <c r="H17" s="1"/>
  <c r="H141" i="60"/>
  <c r="E12" i="58"/>
  <c r="I12" s="1"/>
  <c r="X84"/>
  <c r="Y84" s="1"/>
  <c r="F14" i="65"/>
  <c r="Q84" i="58"/>
  <c r="G362" i="19"/>
  <c r="G363"/>
  <c r="G149" i="76"/>
  <c r="H149" s="1"/>
  <c r="H145" s="1"/>
  <c r="G316" i="19"/>
  <c r="G239"/>
  <c r="G35" i="76"/>
  <c r="G34" s="1"/>
  <c r="H21" i="77"/>
  <c r="H19" s="1"/>
  <c r="H143" i="60"/>
  <c r="G361" i="76"/>
  <c r="H362"/>
  <c r="H361" s="1"/>
  <c r="G341"/>
  <c r="H342"/>
  <c r="H341" s="1"/>
  <c r="G329"/>
  <c r="H330"/>
  <c r="H329" s="1"/>
  <c r="G319"/>
  <c r="H320"/>
  <c r="H319" s="1"/>
  <c r="G228"/>
  <c r="H229"/>
  <c r="H228" s="1"/>
  <c r="H200"/>
  <c r="G516"/>
  <c r="G291" i="19"/>
  <c r="K291" s="1"/>
  <c r="G187" i="76"/>
  <c r="G172" i="77"/>
  <c r="G171" s="1"/>
  <c r="G521" i="60"/>
  <c r="G520" s="1"/>
  <c r="D23" i="65" s="1"/>
  <c r="G548" i="60"/>
  <c r="G208" i="76"/>
  <c r="H209"/>
  <c r="H208" s="1"/>
  <c r="G272"/>
  <c r="G753" i="19"/>
  <c r="K753" s="1"/>
  <c r="G59" i="76"/>
  <c r="G321" i="19"/>
  <c r="G153" i="76"/>
  <c r="H153" s="1"/>
  <c r="H150" s="1"/>
  <c r="G194" i="19"/>
  <c r="G207" i="76"/>
  <c r="G148" i="77"/>
  <c r="H171"/>
  <c r="H170" s="1"/>
  <c r="G445" i="76"/>
  <c r="G444" s="1"/>
  <c r="G435"/>
  <c r="H129" i="77"/>
  <c r="H118" s="1"/>
  <c r="H117" s="1"/>
  <c r="H48"/>
  <c r="G371" i="19"/>
  <c r="G129"/>
  <c r="H145" i="77"/>
  <c r="H94"/>
  <c r="H93" s="1"/>
  <c r="G352" i="19"/>
  <c r="H522" i="60"/>
  <c r="H521" s="1"/>
  <c r="H520" s="1"/>
  <c r="F23" i="65" s="1"/>
  <c r="G410" i="19"/>
  <c r="C90" i="29"/>
  <c r="G697" i="19"/>
  <c r="K697" s="1"/>
  <c r="G496" i="76"/>
  <c r="G495" s="1"/>
  <c r="G494" s="1"/>
  <c r="G181"/>
  <c r="E54" i="17"/>
  <c r="G396" i="76"/>
  <c r="G393" s="1"/>
  <c r="G432"/>
  <c r="E21" i="17"/>
  <c r="H120" i="76"/>
  <c r="H115" s="1"/>
  <c r="G375"/>
  <c r="G155"/>
  <c r="H293"/>
  <c r="G176"/>
  <c r="G290"/>
  <c r="G279"/>
  <c r="G142"/>
  <c r="H429"/>
  <c r="H290"/>
  <c r="H296"/>
  <c r="G429"/>
  <c r="G296"/>
  <c r="G70"/>
  <c r="G69" s="1"/>
  <c r="G68" s="1"/>
  <c r="G381"/>
  <c r="G210"/>
  <c r="H381"/>
  <c r="H176"/>
  <c r="G438"/>
  <c r="G378"/>
  <c r="G287"/>
  <c r="G276"/>
  <c r="G86"/>
  <c r="G486"/>
  <c r="G485" s="1"/>
  <c r="H138"/>
  <c r="G62"/>
  <c r="H210"/>
  <c r="H432"/>
  <c r="H155"/>
  <c r="G372"/>
  <c r="H190"/>
  <c r="H185" s="1"/>
  <c r="G120"/>
  <c r="H378"/>
  <c r="H372"/>
  <c r="G96"/>
  <c r="G90" s="1"/>
  <c r="G16"/>
  <c r="G15" s="1"/>
  <c r="H436"/>
  <c r="H435" s="1"/>
  <c r="G138"/>
  <c r="I416"/>
  <c r="H183"/>
  <c r="H181" s="1"/>
  <c r="H175"/>
  <c r="H174" s="1"/>
  <c r="G357"/>
  <c r="G337"/>
  <c r="G325"/>
  <c r="G311"/>
  <c r="G307"/>
  <c r="G190"/>
  <c r="G164"/>
  <c r="G160" s="1"/>
  <c r="G42"/>
  <c r="H143"/>
  <c r="H142" s="1"/>
  <c r="H131"/>
  <c r="G31" l="1"/>
  <c r="H302"/>
  <c r="H301" s="1"/>
  <c r="K633" i="19"/>
  <c r="H240" i="77"/>
  <c r="F11" i="15"/>
  <c r="I762" i="19" s="1"/>
  <c r="I763" s="1"/>
  <c r="G762"/>
  <c r="D34" i="65"/>
  <c r="H31" i="76"/>
  <c r="H30" s="1"/>
  <c r="G704" i="19"/>
  <c r="K704" s="1"/>
  <c r="K705"/>
  <c r="G557"/>
  <c r="K558"/>
  <c r="G679"/>
  <c r="K680"/>
  <c r="G383"/>
  <c r="G340"/>
  <c r="H672"/>
  <c r="L672" s="1"/>
  <c r="L673"/>
  <c r="H464"/>
  <c r="L465"/>
  <c r="G580"/>
  <c r="K581"/>
  <c r="G631"/>
  <c r="K632"/>
  <c r="D17" i="17"/>
  <c r="G409" i="19"/>
  <c r="G293"/>
  <c r="K293" s="1"/>
  <c r="G243"/>
  <c r="G61"/>
  <c r="K61" s="1"/>
  <c r="K65"/>
  <c r="G138" i="60"/>
  <c r="G137" s="1"/>
  <c r="D22" i="65" s="1"/>
  <c r="G102" i="19"/>
  <c r="K102" s="1"/>
  <c r="G671"/>
  <c r="K671" s="1"/>
  <c r="K672"/>
  <c r="L565"/>
  <c r="H558"/>
  <c r="G201"/>
  <c r="G229"/>
  <c r="G76"/>
  <c r="K77"/>
  <c r="G236"/>
  <c r="G306"/>
  <c r="L201"/>
  <c r="H178"/>
  <c r="G90"/>
  <c r="K90" s="1"/>
  <c r="G510" i="76"/>
  <c r="K72" i="19"/>
  <c r="G124"/>
  <c r="G717"/>
  <c r="K718"/>
  <c r="D20" i="65"/>
  <c r="D19" s="1"/>
  <c r="H182" i="60"/>
  <c r="F34" i="65" s="1"/>
  <c r="H183" i="60"/>
  <c r="D16" i="65"/>
  <c r="H238" i="77"/>
  <c r="D18" i="65"/>
  <c r="G76" i="60"/>
  <c r="F16" i="65"/>
  <c r="E35"/>
  <c r="F35"/>
  <c r="H85" i="76"/>
  <c r="G409"/>
  <c r="G408" s="1"/>
  <c r="G392"/>
  <c r="G221"/>
  <c r="G220" s="1"/>
  <c r="D29" i="61"/>
  <c r="D28" s="1"/>
  <c r="D27" s="1"/>
  <c r="D25" s="1"/>
  <c r="H576" i="60"/>
  <c r="C29" i="61"/>
  <c r="C28" s="1"/>
  <c r="C27" s="1"/>
  <c r="C25" s="1"/>
  <c r="G576" i="60"/>
  <c r="G670" i="19"/>
  <c r="K670" s="1"/>
  <c r="H184" i="76"/>
  <c r="G184"/>
  <c r="G30"/>
  <c r="G211" i="60"/>
  <c r="H59"/>
  <c r="F31" i="65"/>
  <c r="F50"/>
  <c r="F49" s="1"/>
  <c r="G445" i="19"/>
  <c r="G246" i="77"/>
  <c r="G245" s="1"/>
  <c r="G238" s="1"/>
  <c r="G480" i="19"/>
  <c r="F37" i="65"/>
  <c r="F36" s="1"/>
  <c r="G726" i="19"/>
  <c r="H409" i="76"/>
  <c r="H408" s="1"/>
  <c r="G115"/>
  <c r="G573" i="60"/>
  <c r="G572" s="1"/>
  <c r="G571" s="1"/>
  <c r="D60" i="65" s="1"/>
  <c r="D25"/>
  <c r="H14" i="60"/>
  <c r="H13" s="1"/>
  <c r="G27" i="77"/>
  <c r="H450" i="76"/>
  <c r="G302"/>
  <c r="G301" s="1"/>
  <c r="I301" s="1"/>
  <c r="G339" i="60"/>
  <c r="G338" s="1"/>
  <c r="D51" i="65"/>
  <c r="H44" i="60"/>
  <c r="F26" i="65"/>
  <c r="F18"/>
  <c r="H235" i="60"/>
  <c r="H234" s="1"/>
  <c r="I153" i="15"/>
  <c r="H339" i="60"/>
  <c r="H338" s="1"/>
  <c r="G173"/>
  <c r="G112" i="76"/>
  <c r="H368"/>
  <c r="H367" s="1"/>
  <c r="G368"/>
  <c r="G367" s="1"/>
  <c r="G16" i="19"/>
  <c r="K16" s="1"/>
  <c r="G339"/>
  <c r="G133" i="76"/>
  <c r="H129"/>
  <c r="H126" s="1"/>
  <c r="G129"/>
  <c r="G44" i="60"/>
  <c r="G43" s="1"/>
  <c r="F33" i="65"/>
  <c r="H417" i="60"/>
  <c r="H416" s="1"/>
  <c r="G415"/>
  <c r="D33" i="65" s="1"/>
  <c r="G417" i="60"/>
  <c r="G416" s="1"/>
  <c r="G192"/>
  <c r="D36" i="65"/>
  <c r="F45"/>
  <c r="H350" i="76"/>
  <c r="H349" s="1"/>
  <c r="H15"/>
  <c r="H14" s="1"/>
  <c r="G170" i="77"/>
  <c r="G67" i="76"/>
  <c r="G744" i="19"/>
  <c r="K744" s="1"/>
  <c r="D29" i="17"/>
  <c r="D28" s="1"/>
  <c r="G173" i="76"/>
  <c r="G168" s="1"/>
  <c r="G170" i="19"/>
  <c r="D20" i="17"/>
  <c r="D19" s="1"/>
  <c r="G81" i="19"/>
  <c r="K81" s="1"/>
  <c r="G180"/>
  <c r="G142"/>
  <c r="G39"/>
  <c r="G275" i="76"/>
  <c r="H68"/>
  <c r="H67" s="1"/>
  <c r="H56" s="1"/>
  <c r="G144" i="77"/>
  <c r="G143" s="1"/>
  <c r="G14"/>
  <c r="G38"/>
  <c r="G37" s="1"/>
  <c r="H27"/>
  <c r="H38"/>
  <c r="H37" s="1"/>
  <c r="H221" i="76"/>
  <c r="H220" s="1"/>
  <c r="G350"/>
  <c r="G349" s="1"/>
  <c r="H206"/>
  <c r="H205" s="1"/>
  <c r="G206"/>
  <c r="G205" s="1"/>
  <c r="H144" i="77"/>
  <c r="H143" s="1"/>
  <c r="E23" i="65"/>
  <c r="E21" s="1"/>
  <c r="G128" i="19"/>
  <c r="G351"/>
  <c r="G312"/>
  <c r="G271" i="76"/>
  <c r="H272"/>
  <c r="H271" s="1"/>
  <c r="H236" s="1"/>
  <c r="G332" i="19"/>
  <c r="G61" i="76"/>
  <c r="G58" s="1"/>
  <c r="X99" i="58"/>
  <c r="Y99" s="1"/>
  <c r="G752" i="19"/>
  <c r="K752" s="1"/>
  <c r="G14" i="60"/>
  <c r="G13" s="1"/>
  <c r="D45" i="65"/>
  <c r="G361" i="19"/>
  <c r="D51" i="17"/>
  <c r="D50" s="1"/>
  <c r="P99" i="58"/>
  <c r="Q99" s="1"/>
  <c r="H139" i="60"/>
  <c r="G14" i="76"/>
  <c r="G145"/>
  <c r="G150"/>
  <c r="G193" i="19"/>
  <c r="G315"/>
  <c r="H15" i="77"/>
  <c r="H14" s="1"/>
  <c r="H286" i="76"/>
  <c r="H285" s="1"/>
  <c r="G286"/>
  <c r="G285" s="1"/>
  <c r="H173"/>
  <c r="H168" s="1"/>
  <c r="H164"/>
  <c r="G159"/>
  <c r="H671" i="19" l="1"/>
  <c r="L671" s="1"/>
  <c r="G290"/>
  <c r="K290" s="1"/>
  <c r="G60"/>
  <c r="G59" s="1"/>
  <c r="G696"/>
  <c r="K696" s="1"/>
  <c r="G305"/>
  <c r="G242"/>
  <c r="G725"/>
  <c r="K726"/>
  <c r="H557"/>
  <c r="L558"/>
  <c r="G556"/>
  <c r="K557"/>
  <c r="G34"/>
  <c r="K34" s="1"/>
  <c r="K39"/>
  <c r="G89"/>
  <c r="K89" s="1"/>
  <c r="G228"/>
  <c r="G101"/>
  <c r="K101" s="1"/>
  <c r="G338"/>
  <c r="D55" i="17"/>
  <c r="K76" i="19"/>
  <c r="G579"/>
  <c r="K580"/>
  <c r="G350"/>
  <c r="G370"/>
  <c r="D56" i="17" s="1"/>
  <c r="H670" i="19"/>
  <c r="H86"/>
  <c r="L86" s="1"/>
  <c r="L178"/>
  <c r="K631"/>
  <c r="G610"/>
  <c r="H445"/>
  <c r="L464"/>
  <c r="D23" i="17"/>
  <c r="K679" i="19"/>
  <c r="G435"/>
  <c r="K445"/>
  <c r="G123"/>
  <c r="G479"/>
  <c r="K479" s="1"/>
  <c r="K480"/>
  <c r="G716"/>
  <c r="K717"/>
  <c r="H173" i="60"/>
  <c r="H58"/>
  <c r="H43" s="1"/>
  <c r="F52" i="65"/>
  <c r="G85" i="76"/>
  <c r="D32" i="65"/>
  <c r="H235" i="76"/>
  <c r="F44" i="65"/>
  <c r="F40" s="1"/>
  <c r="H211" i="60"/>
  <c r="H138"/>
  <c r="D40" i="65"/>
  <c r="H76" i="60"/>
  <c r="H266" i="77"/>
  <c r="H265" s="1"/>
  <c r="H255" s="1"/>
  <c r="G265"/>
  <c r="G255" s="1"/>
  <c r="G136" i="60"/>
  <c r="G519"/>
  <c r="G289"/>
  <c r="G15" i="19"/>
  <c r="K15" s="1"/>
  <c r="H160" i="76"/>
  <c r="H159" s="1"/>
  <c r="G570" i="60"/>
  <c r="D58" i="65" s="1"/>
  <c r="D57" s="1"/>
  <c r="D56" s="1"/>
  <c r="D55" s="1"/>
  <c r="D54" s="1"/>
  <c r="H573" i="60"/>
  <c r="H572" s="1"/>
  <c r="H571" s="1"/>
  <c r="F63" i="65"/>
  <c r="C28" i="21"/>
  <c r="C27" s="1"/>
  <c r="C26" s="1"/>
  <c r="C24" s="1"/>
  <c r="F11" i="65"/>
  <c r="G36" i="77"/>
  <c r="D21" i="65"/>
  <c r="G57" i="76"/>
  <c r="G56" s="1"/>
  <c r="D11" i="65"/>
  <c r="H289" i="60"/>
  <c r="E53" i="65"/>
  <c r="E51" s="1"/>
  <c r="G235" i="76"/>
  <c r="G257" i="19"/>
  <c r="H84" i="76"/>
  <c r="G75" i="19"/>
  <c r="K75" s="1"/>
  <c r="G126" i="76"/>
  <c r="H36" i="77"/>
  <c r="H284" i="76"/>
  <c r="G235" i="19"/>
  <c r="D45" i="17"/>
  <c r="G192" i="19"/>
  <c r="G97"/>
  <c r="G751"/>
  <c r="K751" s="1"/>
  <c r="G331"/>
  <c r="G314"/>
  <c r="D16" i="17"/>
  <c r="D24"/>
  <c r="G284" i="76"/>
  <c r="D59" i="65" l="1"/>
  <c r="D43" i="17"/>
  <c r="G253" i="19"/>
  <c r="K253" s="1"/>
  <c r="K257"/>
  <c r="K60"/>
  <c r="G478"/>
  <c r="K478" s="1"/>
  <c r="D54" i="17"/>
  <c r="D47"/>
  <c r="K610" i="19"/>
  <c r="D36" i="17"/>
  <c r="G369" i="19"/>
  <c r="D48" i="17"/>
  <c r="H556" i="19"/>
  <c r="L557"/>
  <c r="F35" i="17"/>
  <c r="G96" i="19"/>
  <c r="G227"/>
  <c r="L670"/>
  <c r="H435"/>
  <c r="L445"/>
  <c r="K579"/>
  <c r="D35" i="17"/>
  <c r="G35" s="1"/>
  <c r="G58" i="19"/>
  <c r="D15" i="17" s="1"/>
  <c r="K59" i="19"/>
  <c r="G88"/>
  <c r="K88" s="1"/>
  <c r="G555"/>
  <c r="K555" s="1"/>
  <c r="K556"/>
  <c r="G724"/>
  <c r="K725"/>
  <c r="G304"/>
  <c r="F51" i="65"/>
  <c r="G281" i="77"/>
  <c r="K435" i="19"/>
  <c r="G122"/>
  <c r="D26" i="17"/>
  <c r="K716" i="19"/>
  <c r="H137" i="60"/>
  <c r="H136" s="1"/>
  <c r="G306"/>
  <c r="G305" s="1"/>
  <c r="D30" i="65"/>
  <c r="H254" i="77"/>
  <c r="I235" i="76"/>
  <c r="E32" i="65"/>
  <c r="E30" s="1"/>
  <c r="E59" s="1"/>
  <c r="H306" i="60"/>
  <c r="H305" s="1"/>
  <c r="F32" i="65"/>
  <c r="F30" s="1"/>
  <c r="G234" i="19"/>
  <c r="G254" i="77"/>
  <c r="G569" i="60"/>
  <c r="D12" i="17"/>
  <c r="H83" i="76"/>
  <c r="H503" s="1"/>
  <c r="F60" i="65"/>
  <c r="H570" i="60"/>
  <c r="E18" i="17"/>
  <c r="G84" i="76"/>
  <c r="G83" s="1"/>
  <c r="G503" s="1"/>
  <c r="G14" i="19"/>
  <c r="E11" i="17"/>
  <c r="E14"/>
  <c r="G750" i="19"/>
  <c r="D49" i="17"/>
  <c r="G179" i="19"/>
  <c r="H548" i="60"/>
  <c r="H519" s="1"/>
  <c r="F25" i="65"/>
  <c r="E13" i="17"/>
  <c r="G313" i="19"/>
  <c r="G330"/>
  <c r="K96" l="1"/>
  <c r="G87"/>
  <c r="D32" i="17"/>
  <c r="G749" i="19"/>
  <c r="K750"/>
  <c r="G57"/>
  <c r="K58"/>
  <c r="H555"/>
  <c r="L555" s="1"/>
  <c r="L556"/>
  <c r="G178"/>
  <c r="D34" i="17"/>
  <c r="G723" i="19"/>
  <c r="D27" i="17" s="1"/>
  <c r="D25" s="1"/>
  <c r="K724" i="19"/>
  <c r="D11" i="17"/>
  <c r="D44"/>
  <c r="D41" s="1"/>
  <c r="G287" i="19"/>
  <c r="K287" s="1"/>
  <c r="L435"/>
  <c r="G13"/>
  <c r="K14"/>
  <c r="G434"/>
  <c r="K434" s="1"/>
  <c r="D14" i="17"/>
  <c r="F22" i="65"/>
  <c r="F21" s="1"/>
  <c r="G278" i="77"/>
  <c r="H278"/>
  <c r="G575" i="60"/>
  <c r="D63" i="65" s="1"/>
  <c r="D61" s="1"/>
  <c r="F58"/>
  <c r="F57" s="1"/>
  <c r="F56" s="1"/>
  <c r="F55" s="1"/>
  <c r="F54" s="1"/>
  <c r="H569" i="60"/>
  <c r="H575" s="1"/>
  <c r="H577" s="1"/>
  <c r="D38" i="17"/>
  <c r="D37" s="1"/>
  <c r="G252" i="19"/>
  <c r="K252" s="1"/>
  <c r="D46" i="17"/>
  <c r="E10"/>
  <c r="D31"/>
  <c r="D22"/>
  <c r="D21" s="1"/>
  <c r="D13"/>
  <c r="G233" i="19"/>
  <c r="F34" i="17"/>
  <c r="F30" s="1"/>
  <c r="F59" i="65" l="1"/>
  <c r="H434" i="19"/>
  <c r="H433" s="1"/>
  <c r="K87"/>
  <c r="G86"/>
  <c r="K86" s="1"/>
  <c r="G433"/>
  <c r="K433" s="1"/>
  <c r="K723"/>
  <c r="G715"/>
  <c r="K715" s="1"/>
  <c r="K57"/>
  <c r="G56"/>
  <c r="K56" s="1"/>
  <c r="G509" i="76"/>
  <c r="G519" s="1"/>
  <c r="K13" i="19"/>
  <c r="K749"/>
  <c r="F61" i="65"/>
  <c r="G273" i="77"/>
  <c r="G272" s="1"/>
  <c r="G297" s="1"/>
  <c r="H273"/>
  <c r="H272" s="1"/>
  <c r="H297" s="1"/>
  <c r="I503" i="76"/>
  <c r="C32" i="61"/>
  <c r="C31" s="1"/>
  <c r="C30" s="1"/>
  <c r="C26" s="1"/>
  <c r="C24" s="1"/>
  <c r="C15" s="1"/>
  <c r="C14" s="1"/>
  <c r="G577" i="60"/>
  <c r="D32" i="61"/>
  <c r="D31" s="1"/>
  <c r="D30" s="1"/>
  <c r="D26" s="1"/>
  <c r="D24" s="1"/>
  <c r="D18" i="17"/>
  <c r="D10" s="1"/>
  <c r="D30"/>
  <c r="E63"/>
  <c r="E67" s="1"/>
  <c r="E57"/>
  <c r="L434" i="19" l="1"/>
  <c r="D57" i="17"/>
  <c r="H760" i="19"/>
  <c r="L760" s="1"/>
  <c r="L433"/>
  <c r="G678"/>
  <c r="K678" s="1"/>
  <c r="G760" l="1"/>
  <c r="K760" s="1"/>
  <c r="J763" s="1"/>
  <c r="C29" i="21" l="1"/>
  <c r="C25" s="1"/>
  <c r="C23" s="1"/>
  <c r="C14" s="1"/>
  <c r="C13" s="1"/>
  <c r="G505" i="76"/>
  <c r="G506" s="1"/>
  <c r="G521" s="1"/>
  <c r="D60" i="17"/>
  <c r="D59" s="1"/>
  <c r="G763" i="19"/>
  <c r="G768" s="1"/>
  <c r="C30" i="21" l="1"/>
  <c r="C31" s="1"/>
  <c r="E61" i="65"/>
  <c r="E63"/>
</calcChain>
</file>

<file path=xl/sharedStrings.xml><?xml version="1.0" encoding="utf-8"?>
<sst xmlns="http://schemas.openxmlformats.org/spreadsheetml/2006/main" count="11917" uniqueCount="1267">
  <si>
    <t>99 0 00 00000</t>
  </si>
  <si>
    <t>99 9 00 80900</t>
  </si>
  <si>
    <t>ГП Город Кяхта</t>
  </si>
  <si>
    <t>СП Тамирское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</si>
  <si>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</si>
  <si>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</si>
  <si>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Иные выплаты персоналу государственных (муниципальных) органов, за исключением фонда оплаты труда</t>
  </si>
  <si>
    <t>Наименование видов заимствований</t>
  </si>
  <si>
    <t>привлечение средств</t>
  </si>
  <si>
    <t>погашение основной суммы долга</t>
  </si>
  <si>
    <t>Кредиты кредитных организаций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</si>
  <si>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</si>
  <si>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</si>
  <si>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</si>
  <si>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</si>
  <si>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</si>
  <si>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Единый сельскохозяйственный налог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</si>
  <si>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</si>
  <si>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Резервные средства</t>
  </si>
  <si>
    <t xml:space="preserve">в том числе за счет средств республиканского бюджета </t>
  </si>
  <si>
    <t xml:space="preserve">Наименование </t>
  </si>
  <si>
    <t>№</t>
  </si>
  <si>
    <t>Другие вопросы в области жилищно-коммунального хозяйства</t>
  </si>
  <si>
    <t>Осуществление государственных полномочий по хранению, формированию, учету и использованию архивного фонда Республики Бурятия</t>
  </si>
  <si>
    <t>510</t>
  </si>
  <si>
    <t>Другие вопросы в области национальной экономики</t>
  </si>
  <si>
    <t>511</t>
  </si>
  <si>
    <t>Осуществление государственных полномочий по созданию и организации деятельности административных комиссий</t>
  </si>
  <si>
    <t>Налог, взимаемый в связи с применением патентной системы налогообложения, зачисляемый в бюджеты муниципальных районов</t>
  </si>
  <si>
    <t>182 1 05 040200 2 0000 110</t>
  </si>
  <si>
    <t>БЕЗВОЗМЕЗДНЫЕ ПОСТУПЛЕНИЯ ОТ ДРУГИХ БЮДЖЕТОВ БЮДЖЕТНОЙ СИСТЕМЫ РОССИЙСКОЙ ФЕДЕРАЦИИ</t>
  </si>
  <si>
    <t>Подраздел-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</si>
  <si>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</si>
  <si>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</si>
  <si>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</si>
  <si>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</si>
  <si>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</si>
  <si>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</si>
  <si>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</si>
  <si>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</si>
  <si>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</si>
  <si>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</si>
  <si>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Физическая культура</t>
  </si>
  <si>
    <t>СРЕДСТВА МАССОВОЙ ИНФОРМАЦИИ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</si>
  <si>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</si>
  <si>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</si>
  <si>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</si>
  <si>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Приложение 8</t>
  </si>
  <si>
    <t>Код</t>
  </si>
  <si>
    <t>сумма</t>
  </si>
  <si>
    <t>Источники финансирования дефицита бюджета-всего</t>
  </si>
  <si>
    <t>ИСТОЧНИКИ ВНУТРЕННЕГО ФИНАНСИРОВАНИЯ ДЕФИЦИТОВ БЮДЖЕТОВ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</si>
  <si>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</si>
  <si>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</si>
  <si>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</si>
  <si>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</si>
  <si>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</si>
  <si>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</si>
  <si>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</si>
  <si>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</si>
  <si>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931 9000 0000 00 0000 000</t>
  </si>
  <si>
    <t>931 0100 0000 00 0000 000</t>
  </si>
  <si>
    <t>931 0103 0000 00 0000 000</t>
  </si>
  <si>
    <t>931 0103 0000 00 0000 700</t>
  </si>
  <si>
    <t>931 0103 0000 00 0000 800</t>
  </si>
  <si>
    <t>931 0103 0000 05 0000 710</t>
  </si>
  <si>
    <t>931 01 03 0000 05 0000 810</t>
  </si>
  <si>
    <t>931 0105 0000 00 0000 000</t>
  </si>
  <si>
    <t>931 0105 0000 00 0000 500</t>
  </si>
  <si>
    <t>Расходы на обеспечение деятельности (оказание услуг) учреждений культуры (дома культуры, другие учреждения культуры)</t>
  </si>
  <si>
    <t>Развитие общественной инфраструктуры, капитальный ремонт, реконструкции, строительства объектов образования, физической культуры и спорта, культуры, дорожного хозяйственного жилищно-коммунального хозяйства</t>
  </si>
  <si>
    <t>414</t>
  </si>
  <si>
    <t>Содержание инструкторов по физической культуре и спорту</t>
  </si>
  <si>
    <t>(тыс.рублей)</t>
  </si>
  <si>
    <t>Код бюджетной классификации</t>
  </si>
  <si>
    <t>НАЛОГОВЫЕ И НЕНАЛОГОВЫЕ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</si>
  <si>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</si>
  <si>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</si>
  <si>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</si>
  <si>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</si>
  <si>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182 1 05 00000 00 0000 000</t>
  </si>
  <si>
    <t>МКУ РУО МО "Кяхтинский район"</t>
  </si>
  <si>
    <t>936</t>
  </si>
  <si>
    <t xml:space="preserve">Непрограммные расходы </t>
  </si>
  <si>
    <t xml:space="preserve">МО «Кяхтинский район»  </t>
  </si>
  <si>
    <t>ВСЕГО РАСХОДОВ</t>
  </si>
  <si>
    <t xml:space="preserve"> </t>
  </si>
  <si>
    <t>НАЛОГИ НА ТОВАРЫ (РАБОТЫ, УСЛУГИ), РЕАЛИЗУЕМЫЕ НА ТЕРРИТОРИИ РОССИЙСКОЙ ФЕДЕРАЦИИ</t>
  </si>
  <si>
    <t xml:space="preserve">КСП </t>
  </si>
  <si>
    <t>934 1 11 05013 13 0000 120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</si>
  <si>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</si>
  <si>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</si>
  <si>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</si>
  <si>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</si>
  <si>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934 1 14 06013 13 0000 430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</si>
  <si>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</si>
  <si>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</si>
  <si>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Расходы связанные с осуществлением полномочий по обеспечению деятельности (оказание услуг) учреждений культуры (дома культуры, другие учреждения культуры)</t>
  </si>
  <si>
    <t>Субсидия на повышение средней заработной платы работников муниципальных учреждений культуры</t>
  </si>
  <si>
    <t>ВСЕГО</t>
  </si>
  <si>
    <t>Приложение 6</t>
  </si>
  <si>
    <t>Приложение 11</t>
  </si>
  <si>
    <t>Судебная система</t>
  </si>
  <si>
    <t>Приложение 3</t>
  </si>
  <si>
    <t xml:space="preserve"> «О бюджете муниципального образования</t>
  </si>
  <si>
    <t>(тыс. рублей)</t>
  </si>
  <si>
    <t>2 02 00000 00 0000 000</t>
  </si>
  <si>
    <t>2.Иные межбюджетные трансферты в бюджеты поселений от бюджета муниципального района</t>
  </si>
  <si>
    <t>Межбюджетные трансферты общего характера бюджетам субъектов Российской Федерации и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</si>
  <si>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</si>
  <si>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Фонд оплаты труда государственных (муниципальных) органов и взносы по обязательному социальному страхованию</t>
  </si>
  <si>
    <t>Выполнение других обязательств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</si>
  <si>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</si>
  <si>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Получение кредитов от кредитных 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</si>
  <si>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</si>
  <si>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</si>
  <si>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Прочие неналоговые доходы бюджетов муниципальных районов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</si>
  <si>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</si>
  <si>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 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</si>
  <si>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</si>
  <si>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Увеличение остатков средств бюджетов</t>
  </si>
  <si>
    <t>Уменьшение остатков средств бюджетов</t>
  </si>
  <si>
    <t>На повышение средней заработной платы педагогических работников муниципальных учреждений дополнительного образования отрасли "Культура" на 2014 год в целях выполнения Указа Президента Российской Федерации от 1 июня 2012 года №761 "О Национальной стратегии действий в интересах детей на 2012-2017 годы"</t>
  </si>
  <si>
    <t>Осуществление государственных полномочий по организации и осуществлению  деятельности по опеке и попечительству в Республике Бурятия</t>
  </si>
  <si>
    <t>Осуществление государственных полномочий по образованию и организации деятельности комиссий по делам несовершеннолетних и защите их прав в Республике Бурятия</t>
  </si>
  <si>
    <t>Увеличение фонда оплаты труда педагогических работников муниципальных  учреждений дополнительного образования</t>
  </si>
  <si>
    <t xml:space="preserve">Мероприятия по оздоровлению детей, за исключением детей, находящихся в трудной жизненной ситуации </t>
  </si>
  <si>
    <t>Общий объем заимствований, направляемых на покрытие дефицита местного бюджета и погашение долговых обязательств муниципального образования</t>
  </si>
  <si>
    <t>Таблица 1.1</t>
  </si>
  <si>
    <t>Охрана окружающей среды</t>
  </si>
  <si>
    <t>Иные выплаты населению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</si>
  <si>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</si>
  <si>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МО «Кяхтинский район» </t>
  </si>
  <si>
    <t xml:space="preserve"> «Кяхтинский район» </t>
  </si>
  <si>
    <t>МКУ Совет депутатов МО "Кяхтинский район"</t>
  </si>
  <si>
    <t>МКУ ФУ Администрации МО «Кяхтинский район»</t>
  </si>
  <si>
    <t>Расходы, связанные с осуществлением полномочий по формированию и исполнению бюджета</t>
  </si>
  <si>
    <t>931</t>
  </si>
  <si>
    <t xml:space="preserve">МКУ Администрация МО «Кяхтинский район» </t>
  </si>
  <si>
    <t>Резервный фонд Администрации МО "Кяхтинский район"</t>
  </si>
  <si>
    <t>934</t>
  </si>
  <si>
    <t>к Решению Совета депутатов</t>
  </si>
  <si>
    <t>Бюджетные кредиты от других бюджетов бюджетной системы Российской Федерации</t>
  </si>
  <si>
    <t>Итого</t>
  </si>
  <si>
    <t xml:space="preserve">ДОХОДЫ +КРЕДИТ </t>
  </si>
  <si>
    <t xml:space="preserve">РАСХОДЫ +КРЕДИТ </t>
  </si>
  <si>
    <t>Наименование</t>
  </si>
  <si>
    <t>Раздел</t>
  </si>
  <si>
    <t>Подраздел</t>
  </si>
  <si>
    <t>Целевая статья</t>
  </si>
  <si>
    <t>Вид расхода</t>
  </si>
  <si>
    <t>Сумма</t>
  </si>
  <si>
    <t>01</t>
  </si>
  <si>
    <t>02</t>
  </si>
  <si>
    <t>07</t>
  </si>
  <si>
    <t>03</t>
  </si>
  <si>
    <t>09</t>
  </si>
  <si>
    <t>10</t>
  </si>
  <si>
    <t>06</t>
  </si>
  <si>
    <t>12</t>
  </si>
  <si>
    <t>11</t>
  </si>
  <si>
    <t>04</t>
  </si>
  <si>
    <t>05</t>
  </si>
  <si>
    <t>08</t>
  </si>
  <si>
    <t>ИТОГО расходов</t>
  </si>
  <si>
    <t>14</t>
  </si>
  <si>
    <t>Общегосударственные вопросы</t>
  </si>
  <si>
    <t>Другие общегосударственные вопросы</t>
  </si>
  <si>
    <t>Пенсионное обеспечение</t>
  </si>
  <si>
    <t>Сельское хозяйство и рыболовство</t>
  </si>
  <si>
    <t>Резервные фонды</t>
  </si>
  <si>
    <t xml:space="preserve">Национальная безопасность и правоохранительная деятельность </t>
  </si>
  <si>
    <t>Защита населения и территории от чрезвычайных ситуаций природного и техногенного характера, гражданская оборона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</si>
  <si>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</si>
  <si>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</si>
  <si>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ОТ ДРУГИХ БЮДЖЕТОВ БЮДЖЕТНОЙ СИСТЕМЫ РОССИЙСКОЙ ФЕДЕРАЦИИ</t>
  </si>
  <si>
    <t>ИНЫЕ МЕЖБЮДЖЕТНЫЕ ТРАНСФЕРТЫ</t>
  </si>
  <si>
    <t>Периодическая печать и издательства</t>
  </si>
  <si>
    <t>13</t>
  </si>
  <si>
    <t>Ежемесячное денежное вознаграждение за классное руководство</t>
  </si>
  <si>
    <t xml:space="preserve">Расходы на обеспечение функционирования специалистов контрольно-счетной палаты муниципального образования </t>
  </si>
  <si>
    <t xml:space="preserve">СП "Алтайское" </t>
  </si>
  <si>
    <t xml:space="preserve">СП "Большекударинское" </t>
  </si>
  <si>
    <t xml:space="preserve">СП "Большелугское" </t>
  </si>
  <si>
    <t xml:space="preserve">СП "Зарянское" </t>
  </si>
  <si>
    <t xml:space="preserve">СП "Кударинское" </t>
  </si>
  <si>
    <t xml:space="preserve">СП "Малокударинское" </t>
  </si>
  <si>
    <t xml:space="preserve">СП "Мурочинское" </t>
  </si>
  <si>
    <t xml:space="preserve">СП "Тамирское" </t>
  </si>
  <si>
    <t xml:space="preserve">СП "Первомайское" </t>
  </si>
  <si>
    <t xml:space="preserve">СП "Субуктуйское" </t>
  </si>
  <si>
    <t xml:space="preserve">СП "Усть-Кяхтинское" </t>
  </si>
  <si>
    <t xml:space="preserve">СП "Хоронхойское" </t>
  </si>
  <si>
    <t xml:space="preserve">СП "Чикойское" </t>
  </si>
  <si>
    <t xml:space="preserve">СП "Шарагольское" </t>
  </si>
  <si>
    <t xml:space="preserve">ГП "Наушкинское" </t>
  </si>
  <si>
    <t xml:space="preserve">ГП "Город Кяхта" </t>
  </si>
  <si>
    <t xml:space="preserve">Итого </t>
  </si>
  <si>
    <t>Массовый спорт</t>
  </si>
  <si>
    <t>Общее образование</t>
  </si>
  <si>
    <t>Иные закупки товаров, работ и услуг для обеспечения государственных (муниципальных) нужд</t>
  </si>
  <si>
    <t>Дотации</t>
  </si>
  <si>
    <t>612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</si>
  <si>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</si>
  <si>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</si>
  <si>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</si>
  <si>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Дорожное хозяйство (дорожные фонды)</t>
  </si>
  <si>
    <t>Жилищно-коммунальное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</si>
  <si>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</si>
  <si>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Прочая закупка товаров, работ и услуг для обеспечения государственных (муниципальных) нужд</t>
  </si>
  <si>
    <t>Уплата прочих налогов, сборов и иных платежей</t>
  </si>
  <si>
    <t>048 1 12 00000 00 0000 000</t>
  </si>
  <si>
    <t xml:space="preserve">СП Алтайское </t>
  </si>
  <si>
    <t xml:space="preserve">СП Большекударинское </t>
  </si>
  <si>
    <t xml:space="preserve">СП Большелугское </t>
  </si>
  <si>
    <t xml:space="preserve">СП Зарянское </t>
  </si>
  <si>
    <t xml:space="preserve">СП Кударинское </t>
  </si>
  <si>
    <t xml:space="preserve">СП Малокударинское </t>
  </si>
  <si>
    <t xml:space="preserve">СП Мурочинское </t>
  </si>
  <si>
    <t xml:space="preserve">СП Первомайское </t>
  </si>
  <si>
    <t xml:space="preserve">СП Субуктуйское </t>
  </si>
  <si>
    <t xml:space="preserve">СП Тамирское </t>
  </si>
  <si>
    <t xml:space="preserve">СП Усть-Кяхтинское </t>
  </si>
  <si>
    <t xml:space="preserve">СП Хоронхойское </t>
  </si>
  <si>
    <t xml:space="preserve">СП Чикойское </t>
  </si>
  <si>
    <t xml:space="preserve">СП Шарагольское </t>
  </si>
  <si>
    <t xml:space="preserve">СП Усть-киранское </t>
  </si>
  <si>
    <t>СП "Усть-Киранское"</t>
  </si>
  <si>
    <t>СП "Кударинское"</t>
  </si>
  <si>
    <t>182 1 08 03010 01 0000 110</t>
  </si>
  <si>
    <t>931 0105 0000 00 0000 600</t>
  </si>
  <si>
    <t>931 0105 0200 00 0000 500</t>
  </si>
  <si>
    <t>931 0105 0201 00 0000 510</t>
  </si>
  <si>
    <t>931 0105 0201 05 0000 510</t>
  </si>
  <si>
    <t>931 0105 0200 00 0000 600</t>
  </si>
  <si>
    <t>931 0105 0201 00 0000 610</t>
  </si>
  <si>
    <t>931 0105 0201 05 0000 610</t>
  </si>
  <si>
    <t>1. Дотации бюджетам поселений, входящих в состав муниципального района</t>
  </si>
  <si>
    <t>Таблица 2.1</t>
  </si>
  <si>
    <t>ГРБС</t>
  </si>
  <si>
    <t>МО «Кяхтинский район»</t>
  </si>
  <si>
    <t xml:space="preserve"> «Кяхтинский район»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</si>
  <si>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</si>
  <si>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НАЛОГИ НА СОВОКУПНЫЙ ДОХОД</t>
  </si>
  <si>
    <t>182 1 05 03000 01 0000 110</t>
  </si>
  <si>
    <t>182 1 08 00000 00 0000 000</t>
  </si>
  <si>
    <t>ГОСУДАРСТВЕННАЯ ПОШЛИНА</t>
  </si>
  <si>
    <t>934 1 11 00000 00 0000 000</t>
  </si>
  <si>
    <t>ДОХОДЫ ОТ ИСПОЛЬЗОВАНИЯ ИМУЩЕСТВА, НАХОДЯЩЕГОСЯ В ГОСУДАРСТВЕННОЙ И МУНИЦИПАЛЬНОЙ СОБСТВЕННОСТИ</t>
  </si>
  <si>
    <t>934 1 11 05035 05 0000 120</t>
  </si>
  <si>
    <t>ПЛАТЕЖИ ПРИ ПОЛЬЗОВАНИИ ПРИРОДНЫМИ РЕСУРСАМИ</t>
  </si>
  <si>
    <t>931 1 13 00000 00 0000 000</t>
  </si>
  <si>
    <t>ДОХОДЫ ОТ ОКАЗАНИЯ ПЛАТНЫХ УСЛУГ И КОМПЕНСАЦИИ ЗАТРАТ ГОСУДАРСТВА</t>
  </si>
  <si>
    <t>931 1 13 03050 05 0000 130</t>
  </si>
  <si>
    <t>934 1 14 00000 00 0000 000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</si>
  <si>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</si>
  <si>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муниципальных районов (за исключением муниципальных автономных учреждений, а так же имущества муниципальных унитарных предприятий, в том числе казенных) в части реализации основных средств по указанному имуществу</t>
  </si>
  <si>
    <t>000 1 16 00000 00 0000 000</t>
  </si>
  <si>
    <t>ШТРАФЫ, САНКЦИИ, ВОЗМЕЩЕНИЕ УЩЕРБА</t>
  </si>
  <si>
    <t>931 1 17 00000 00 0000 000</t>
  </si>
  <si>
    <t>ПРОЧИЕ НЕНАЛОГОВЫЕ ДОХОДЫ</t>
  </si>
  <si>
    <t>931 1 17 05050 05 0000 180</t>
  </si>
  <si>
    <t>322</t>
  </si>
  <si>
    <t>Субсидии гражданам на приобретение жилья</t>
  </si>
  <si>
    <t xml:space="preserve">Физическая культура </t>
  </si>
  <si>
    <t>Средства массовой информации</t>
  </si>
  <si>
    <t>Финансирование общеобразовательных учреждений в части реализации ими государственного стандарта общего образования</t>
  </si>
  <si>
    <t>Субсидии автономным учреждениям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</si>
  <si>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</si>
  <si>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иные цели</t>
  </si>
  <si>
    <t>622</t>
  </si>
  <si>
    <t>Культура, кинематография</t>
  </si>
  <si>
    <t>Функционирование  законодательных (представительных) органов государственной власти и представительных органов муниципальных образований</t>
  </si>
  <si>
    <t>321</t>
  </si>
  <si>
    <t xml:space="preserve">Дошкольное образование </t>
  </si>
  <si>
    <t xml:space="preserve">Финансовое обеспечение получения дошкольного образования в образовательных организациях </t>
  </si>
  <si>
    <t>Приложение 1</t>
  </si>
  <si>
    <t>№ п/п</t>
  </si>
  <si>
    <t>Приложение 2</t>
  </si>
  <si>
    <t xml:space="preserve">Осуществление отдельного государственного полномочия по поддержке сельскохозяйственного производства 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</si>
  <si>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</si>
  <si>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182 1 01 02010 01 0000 110</t>
  </si>
  <si>
    <t>182 1 01 02020 01 0000 110</t>
  </si>
  <si>
    <t>182 1 01 02030 01 0000 110</t>
  </si>
  <si>
    <t>182 1 01 02040 01 0000 110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</si>
  <si>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</si>
  <si>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</si>
  <si>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048 1 12 01010 01 0000 120</t>
  </si>
  <si>
    <t>048 1 12 01040 01 0000 120</t>
  </si>
  <si>
    <t>934 1 14 02053 05 0000 410</t>
  </si>
  <si>
    <t>Расходы на обеспечение функционирования председателя представительного органа муниципального образования</t>
  </si>
  <si>
    <t>Расходы на обеспечение функционирования руководителя контрольно-счетной палаты муниципального образования и его заместителей</t>
  </si>
  <si>
    <t>Расходы на обеспечение деятельности (оказание услуг) общеобразовательных учреждений дополнительного образования</t>
  </si>
  <si>
    <t>Расходы на обеспечение деятельности (оказание услуг) муниципальных учреждений (учебно - методические кабинеты, централизованные бухгалтерии)</t>
  </si>
  <si>
    <t>Расходы на содержание инструкторов по физической культуре и спорту</t>
  </si>
  <si>
    <t>Расходы, связанные с осуществлением полномочий по контрольно-счетной палате</t>
  </si>
  <si>
    <t>Функционирование высшего должностного лица субъекта Российской Федерации и муниципального образовании</t>
  </si>
  <si>
    <t>Прочие мероприятия, связанные с выполнением обязательств органов местного самоуправления</t>
  </si>
  <si>
    <t xml:space="preserve">Расходы на обеспечение функций  органов местного самоуправления </t>
  </si>
  <si>
    <t xml:space="preserve">Расходы на обеспечение деятельности (оказание услуг) муниципальных учреждений </t>
  </si>
  <si>
    <t>Молодежная политика и оздоровление детей</t>
  </si>
  <si>
    <t>Физическая культура и спорт</t>
  </si>
  <si>
    <t>Социальное обеспечение населения</t>
  </si>
  <si>
    <t>Другие вопросы в области социальной политики</t>
  </si>
  <si>
    <t>Социальная политика</t>
  </si>
  <si>
    <t>Культура</t>
  </si>
  <si>
    <t>Дошкольное образование</t>
  </si>
  <si>
    <t>Образование</t>
  </si>
  <si>
    <t>Другие вопросы в области образования</t>
  </si>
  <si>
    <t>Осуществление государственных полномочий по расчету и предоставлению дотаций поселениям</t>
  </si>
  <si>
    <t>Иные межбюджетные трансферты</t>
  </si>
  <si>
    <t>121</t>
  </si>
  <si>
    <t>244</t>
  </si>
  <si>
    <t>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 и пригородном сообщении(кроме железнодорожного транспорта)</t>
  </si>
  <si>
    <t>Уплата налога на имущество организаций и земельного налога</t>
  </si>
  <si>
    <t>870</t>
  </si>
  <si>
    <t>122</t>
  </si>
  <si>
    <t>Закупка товаров, работ, услуг в сфере информационно-коммуникационных технологий</t>
  </si>
  <si>
    <t>242</t>
  </si>
  <si>
    <t>611</t>
  </si>
  <si>
    <t>621</t>
  </si>
  <si>
    <t>540</t>
  </si>
  <si>
    <t>Национальная экономика</t>
  </si>
  <si>
    <t>Руководство и управление в сфере установленных функций  органов местного самоуправления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</si>
  <si>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</si>
  <si>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выплатам работникам государственных (муниципальных) органов</t>
  </si>
  <si>
    <t>129</t>
  </si>
  <si>
    <t>80 0 00 73180</t>
  </si>
  <si>
    <t>ГП Наушкинское</t>
  </si>
  <si>
    <t>Осуществление мероприятий, связанных с владением, пользованием и распоряжением имуществом, находящимся в муниципальной собственности.</t>
  </si>
  <si>
    <t>Осуществление отдельных государственных полномочий по уведомительной регистрации коллективных договоров</t>
  </si>
  <si>
    <t>СП Усть-Киранское</t>
  </si>
  <si>
    <t>111</t>
  </si>
  <si>
    <t>112</t>
  </si>
  <si>
    <t>119</t>
  </si>
  <si>
    <t>Администрирование передаваемого отдельного государственного полномочия по организации и обеспечению отдыха и оздоровления детей</t>
  </si>
  <si>
    <t>Подготовка проектов межевания и проведение кадастровых работ в отношении земельных участков, выделяемых за счет земельных долей</t>
  </si>
  <si>
    <t xml:space="preserve">931 01 02 00 00 00 0000 000  </t>
  </si>
  <si>
    <t>Кредиты кредитных организаций в валюте Российской Федерации</t>
  </si>
  <si>
    <t>Резервный фонд администрации по ликвидации чрезвычайных ситуаций и последствий стихийных бедствий</t>
  </si>
  <si>
    <t>Пособия, компенсации и иные социальные выплаты гражданам, кроме публичных нормативных обязательств</t>
  </si>
  <si>
    <t>Приложение 5</t>
  </si>
  <si>
    <t xml:space="preserve">РЦКиД </t>
  </si>
  <si>
    <t xml:space="preserve">Содержание бухгалтеров </t>
  </si>
  <si>
    <t>Приложение 7</t>
  </si>
  <si>
    <t>Приложение 15</t>
  </si>
  <si>
    <t xml:space="preserve"> подпрограмма "Подготовка и проведение государственной (итоговой) аттестации выпускников IX и XI(XII) классов"</t>
  </si>
  <si>
    <t xml:space="preserve"> подпрограмма "Организация  летнего отдыха, оздоровления и занятости детей и подростков в МО «Кяхтинский район»"</t>
  </si>
  <si>
    <t xml:space="preserve"> подпрограмма "Развитие системы дополнительного образования  и  развития системы с одаренными детьми в МО «Кяхтинский район»"</t>
  </si>
  <si>
    <t xml:space="preserve"> подпрограмма "Развитие системы общего образования в МО «Кяхтинский  район»"</t>
  </si>
  <si>
    <t>подпрограмма "Развитие системы дошкольного образования в МО «Кяхтинский район»"</t>
  </si>
  <si>
    <t xml:space="preserve"> подпрограмма "Развитие системы общего образования в МО «Кяхтинский  район"</t>
  </si>
  <si>
    <t xml:space="preserve"> подпрограмма "Развитие системы дополнительного образования  и  развития системы с одаренными детьми в МО «Кяхтинский район"</t>
  </si>
  <si>
    <t xml:space="preserve"> подпрограмма "Организация  летнего отдыха, оздоровления и занятости детей и подростков в МО «Кяхтинский район"</t>
  </si>
  <si>
    <t xml:space="preserve"> подпрограмма "Развитие системы дошкольного образования в МО «Кяхтинский район»; "</t>
  </si>
  <si>
    <t>Приложение 12</t>
  </si>
  <si>
    <t>999</t>
  </si>
  <si>
    <t>99</t>
  </si>
  <si>
    <t>Условно утверждаемые расходы</t>
  </si>
  <si>
    <t>Непрограммные расходы</t>
  </si>
  <si>
    <t>Непрограммные расходы органа местного самоуправления</t>
  </si>
  <si>
    <t xml:space="preserve"> «О бюджете муниципального образования "Кяхтинский район"</t>
  </si>
  <si>
    <t>Приложение 14</t>
  </si>
  <si>
    <t>План на год (тыс.руб)</t>
  </si>
  <si>
    <t>Дополнительное образование детей</t>
  </si>
  <si>
    <t>2 02 15002 05 0000 151</t>
  </si>
  <si>
    <t>2 02 19999 05 0000 151</t>
  </si>
  <si>
    <t>2 02 10000 00 0000 000</t>
  </si>
  <si>
    <t>2 02 20000 00 0000 000</t>
  </si>
  <si>
    <t>2 02 30000 00 0000 000</t>
  </si>
  <si>
    <t>2 02 40000 00 0000 000</t>
  </si>
  <si>
    <t>Приложение 4</t>
  </si>
  <si>
    <t>Приложение 10</t>
  </si>
  <si>
    <t xml:space="preserve">931 01 02 00 00 05 0000 710  </t>
  </si>
  <si>
    <t>931 01 02 00 00 05 0000 810</t>
  </si>
  <si>
    <t>99 9 99 00000</t>
  </si>
  <si>
    <t>00</t>
  </si>
  <si>
    <t xml:space="preserve">Дополнительное образование </t>
  </si>
  <si>
    <t>Субсидии на иные цели</t>
  </si>
  <si>
    <t>66 4 00 00000</t>
  </si>
  <si>
    <t>66 4 00 S2660</t>
  </si>
  <si>
    <t>66 2 00 00000</t>
  </si>
  <si>
    <t>99 1 00 91000</t>
  </si>
  <si>
    <t>99 1 00 91020</t>
  </si>
  <si>
    <t>99 9 00 00000</t>
  </si>
  <si>
    <t>66 3 00 54004</t>
  </si>
  <si>
    <t>99 6 00 00000</t>
  </si>
  <si>
    <t>33 0 00 10005</t>
  </si>
  <si>
    <t>99 6 00 Р0300</t>
  </si>
  <si>
    <t>12 0 00 11010</t>
  </si>
  <si>
    <t>12 0 00 95500</t>
  </si>
  <si>
    <t>02 0 00 30001</t>
  </si>
  <si>
    <t>80 0 00 83030</t>
  </si>
  <si>
    <t>11 2 00 07070</t>
  </si>
  <si>
    <t>80 0 00 83010</t>
  </si>
  <si>
    <t>80 0 00 83120</t>
  </si>
  <si>
    <t>99 5 00 85010</t>
  </si>
  <si>
    <t>11 0 00 40006</t>
  </si>
  <si>
    <t>66 0 00 00000</t>
  </si>
  <si>
    <t>182 1 05 01000 02 0000 110</t>
  </si>
  <si>
    <t>Налог взимаемый по упрощеннойсистеме налогообложения</t>
  </si>
  <si>
    <t>Дотации бюджетам муниципальных районов на поддержку мер по обеспечению сбалансированности бюджетов</t>
  </si>
  <si>
    <t>99 9 00 Р0300</t>
  </si>
  <si>
    <t>Осуществление отдельного государственного полномочия  по отлову и содержанию безнадзорных домашних животных</t>
  </si>
  <si>
    <t>80 0 00 00000</t>
  </si>
  <si>
    <t>Дотация бюджетам муниципальных районов(городских округов) в целях стимулирования муниципальных образований за легализацию трудовых отношений, на 2018 год</t>
  </si>
  <si>
    <t>На выравнивание уровня бюджетной обеспеченности субъектов Российской Федерации и муниципальных образований</t>
  </si>
  <si>
    <t>На выравнивание бюджетной обеспеченности   субъектов Российской Федерации и муниципальных образований</t>
  </si>
  <si>
    <t>Осуществление переданных отдельных государственных полномочий по поддержке сельскохозяйственного производства  органам местного самоуправления</t>
  </si>
  <si>
    <t>Осуществление переданных отдельных государственных полномочий  по отлову и содержанию безнадзорных домашних животных</t>
  </si>
  <si>
    <t>На повышение средней заработной платы работников муниципальных учреждений культуры</t>
  </si>
  <si>
    <t>Осуществление переданного  органам  местного самоуправления государственных  полномочий  по Закону  Республики Бурятия  от 8 июля 2008г № 394-IV «О наделении  органов  местного  самоуправления  муниципальных районов  и городских округов в Республике Бурятия отдельными  государственными полномочиями в области образования</t>
  </si>
  <si>
    <t>Осуществление переданного органам  местного самоуправления государственных  полномочий  по Закону  Республики Бурятия  от 8 июля 2008г № 394-IV «О наделении  органов  местного  самоуправления  муниципальных районов  и городских округов в Республике Бурятия отдельными  государственными полномочиями в области образования</t>
  </si>
  <si>
    <t>СП Шарагольское</t>
  </si>
  <si>
    <t>12 0 00 00000</t>
  </si>
  <si>
    <t>934 1 11 05013 05 0000 120</t>
  </si>
  <si>
    <t>Приложение 18</t>
  </si>
  <si>
    <t>Софинансирование из местного бюджета на развитие общественной инфраструктуры, капитальный ремонт, реконструкции, строительства объектов образования, физической культуры и спорта, культуры, дорожного хозяйственного жилищно-коммунального хозяйства</t>
  </si>
  <si>
    <t>12 0 00 S2310</t>
  </si>
  <si>
    <t>Софинансирование мероприятий по подготовке проектов межевания и проведение кадастровых работ в отношении земельных участков, выделяемых за счет земельных долей</t>
  </si>
  <si>
    <t>ТОС/Культура</t>
  </si>
  <si>
    <t>Налог взимаемый по упрощенной системе налогообложения</t>
  </si>
  <si>
    <t xml:space="preserve">сумма дотации распределеная на 1 этапе </t>
  </si>
  <si>
    <t>Расходы на выплаты персоналу казенных учреждений</t>
  </si>
  <si>
    <t>11 1 00 L4970</t>
  </si>
  <si>
    <t xml:space="preserve">11 0 00 00000 </t>
  </si>
  <si>
    <t>Софинансирование из местного бюджета на реализацию первоочередных мероприятий по модернизации, капитальному ремонту и подготовке к отопительному сезону объектов коммунальной структуры, находящихся в муниципальной собственности</t>
  </si>
  <si>
    <t>Коммунальное хозяйство</t>
  </si>
  <si>
    <t>11 0 00 00000</t>
  </si>
  <si>
    <t>15 0 00 95600</t>
  </si>
  <si>
    <t xml:space="preserve">Субсидии бюджетам муниципальных районов (городских округов) на содержание инструкторов по физической культуре и спорту </t>
  </si>
  <si>
    <t xml:space="preserve">Субвенции бюджетам муниципальных районов на составление (изменение и дополнение) списков кандидатов в присяжные заседатели судов общей юрисдикции в Российской Федерации </t>
  </si>
  <si>
    <t xml:space="preserve"> Субвенция местным бюджетам на выплату вознаграждения за выполнение функций классного руководителя педагогическим работникам муниципальных образовательных организаций, реализующих образовательные программы начального  общего, основного общего, среднего общего образования </t>
  </si>
  <si>
    <t xml:space="preserve">Субвенции на осуществление и администрирование отдельного государственного полномочия по поддержке сельскохозяйственного производства </t>
  </si>
  <si>
    <t xml:space="preserve">Субвенция бюджетам муниципальных районов на осуществление государственных полномочий по расчету и предоставлению дотаций поселениям </t>
  </si>
  <si>
    <t xml:space="preserve">Субвенции местным бюджетам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 и пригородном сообщении (кроме железнодорожного транспорта) </t>
  </si>
  <si>
    <t xml:space="preserve">Субвенции местным бюджетам на осуществление отдельного государственного полномочия  по отлову и содержанию безнадзорных домашних животных </t>
  </si>
  <si>
    <t xml:space="preserve">Субвенции местным бюджетам на администрирование отдельного государственного полномочия  по отлову и содержанию безнадзорных домашних животных </t>
  </si>
  <si>
    <t xml:space="preserve">Субвенции бюджетам на осуществление государственных полномочий по созданию и организации деятельности административных комиссий </t>
  </si>
  <si>
    <t xml:space="preserve">Субвенции местным бюджетам на осуществление государственных полномочий по образованию и  организации деятельности комиссий по делам несовершеннолетних и защите их прав в Республике Бурятия </t>
  </si>
  <si>
    <t xml:space="preserve">Субвенции местным бюджетам на осуществление отдельных государственных полномочий по уведомительной регистрации коллективных договоров </t>
  </si>
  <si>
    <t xml:space="preserve">Субвенции местным бюджетам на осуществление государственных полномочий по хранению, комплектованию, учету и использованию архивного фонда Республики Бурятия </t>
  </si>
  <si>
    <t>Субвенция местным бюджетам на осуществление государственных полномочий по организации и осуществлению деятельности по опеке и попечительству в Республике Бурятия</t>
  </si>
  <si>
    <t xml:space="preserve">Субвенции местным бюджетам на финансовое обеспечение получения начального общего, основного общего, среднего общего образования в муниципальных общеобразовательных организациях, дополнительного образования детей в муниципальных общеобразовательных организациях </t>
  </si>
  <si>
    <t xml:space="preserve">Субвенции местным бюджетам на финансовое обеспечение получения дошкольного образования в муниципальных образовательных организациях </t>
  </si>
  <si>
    <t xml:space="preserve">Субвенции местным бюджетам на организацию и обеспечение отдыха и оздоровления детей в загородных стационарных детских оздоровительных лагерях, оздоровительных лагерях с дневным пребыванием и иных детских лагерях сезонного действия (за исключением загородных стационарных детских оздоровительных лагерей), за исключением организации отдыха детей в каникулярное время и обеспечения прав детей, находящихся в трудной жизненной ситуации, на отдых и оздоровление 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</si>
  <si>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</si>
  <si>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</si>
  <si>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ИТОГО</t>
  </si>
  <si>
    <t xml:space="preserve">Бюджетам муниципальных районов на составление (изменение и дополнение) списков кандидатов в присяжные заседатели судов общей юрисдикции в Российской Федерации </t>
  </si>
  <si>
    <t>2 02 15001 05 0000 150</t>
  </si>
  <si>
    <t>2 02 15002 05 0000 150</t>
  </si>
  <si>
    <t>2 02 29999 05 0000 150</t>
  </si>
  <si>
    <t>2 02 30024 05 0000 150</t>
  </si>
  <si>
    <t>2 02 40014 05 0000 150</t>
  </si>
  <si>
    <t>2 18 60010 05 0000 150</t>
  </si>
  <si>
    <t>2 19 60010 05 0000 150</t>
  </si>
  <si>
    <t>937</t>
  </si>
  <si>
    <t>МКУ "Комитет по развитию инфраструктуры Администрации МО "Кяхтинский район" РБ</t>
  </si>
  <si>
    <t>2 02 49999 05 0000 150</t>
  </si>
  <si>
    <t>2 02 25555 05 0000 150</t>
  </si>
  <si>
    <t>2 02 25497 05 0000 150</t>
  </si>
  <si>
    <t>2 02 25519 05 0000 150</t>
  </si>
  <si>
    <t>2 02 35120 05 0000 150</t>
  </si>
  <si>
    <t>2 02 27112 05 0000 150</t>
  </si>
  <si>
    <t>2 02 25097 05 0000 150</t>
  </si>
  <si>
    <t>2 02 30021 05 0000 150</t>
  </si>
  <si>
    <t>2 02 39999 05 0000 150</t>
  </si>
  <si>
    <t>Субсидии бюджетам муниципальных районов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</si>
  <si>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</si>
  <si>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ИТОГО:</t>
  </si>
  <si>
    <t>711F255550</t>
  </si>
  <si>
    <t>Направление гарантирования</t>
  </si>
  <si>
    <t>Наименование принципала</t>
  </si>
  <si>
    <t>Общий объем предоставляемых гарантий</t>
  </si>
  <si>
    <t>Наличие права регрессного требования</t>
  </si>
  <si>
    <t>Обеспечение исполнения обязательств принципала по удовлетворению регрессных требований гаранта</t>
  </si>
  <si>
    <t>Анализ финансового состояния принципала</t>
  </si>
  <si>
    <t>Иные условия предоставления и исполнения муниципальных гарантий</t>
  </si>
  <si>
    <t>Исполнение муниципальных гарантий МО "Кяхтинский район"</t>
  </si>
  <si>
    <t>За счет источников финансирования дефицита местного бюджета</t>
  </si>
  <si>
    <t>За счет расходов местного бюджета</t>
  </si>
  <si>
    <t>-</t>
  </si>
  <si>
    <t>2 19 60000 05 0000 150</t>
  </si>
  <si>
    <t>2 18 60000 05 0000 150</t>
  </si>
  <si>
    <t>2 02 45505 05 0000 150</t>
  </si>
  <si>
    <t>2 02 45424 05 0000 150</t>
  </si>
  <si>
    <t>Межбюджетные трансферты, передаваемые бюджетам муниципальных районов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</si>
  <si>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Софинансирование из местного бюджета на повышение средней заработной платы работников муниципальных учреждений</t>
  </si>
  <si>
    <t>Софинансирование из местного бюджета на повышение средней заработной платы педагогических работников муниципальных учреждений дополнительного образования отрасли "Культура" на 2014 год в целях выполнения Указа Президента Российской Федерации от 1 июня 2012 года №761 "О Национальной стратегии действий в интересах детей на 2012-2017 годы"</t>
  </si>
  <si>
    <t>80 0 00 S2270</t>
  </si>
  <si>
    <t>Софинансирование из местного бюджета на увеличение фонда оплаты труда педагогических работников муниципальных  учреждений дополнительного образования</t>
  </si>
  <si>
    <t>12000S2310</t>
  </si>
  <si>
    <t>350</t>
  </si>
  <si>
    <t>Премии и гранты</t>
  </si>
  <si>
    <t xml:space="preserve">Софинансирование из местного бюджета на обеспечение профессиональной переподготовки, повышения квалификации глав муниципальных образований и муниципальных служащих </t>
  </si>
  <si>
    <t>Осуществление мероприятий по обеспечению деятельности по охране правопорядка и общественной безопасности</t>
  </si>
  <si>
    <t>Бюджетам муниципальных районов на обеспечение муниципальных дошкольных и общеобразовательных организаций педагогическими работниками</t>
  </si>
  <si>
    <t>Софинансирование из местного бюджета бюджетам муниципальных районов на обеспечение муниципальных дошкольных и общеобразовательных организаций педагогическими работниками</t>
  </si>
  <si>
    <t xml:space="preserve">Местным бюджетам на организацию и обеспечение отдыха и оздоровления детей в загородных стационарных детских оздоровительных лагерях, оздоровительных лагерях с дневным пребыванием и иных детских лагерях сезонного действия(за исключением загородных стационарных детских оздоровительных лагерей), за исключением организации отдыха детей в каникулярное время и обеспечения прав детей, находящихся в трудной жизненной ситуации, на отдых и оздоровление. </t>
  </si>
  <si>
    <t>Местным бюджетам на финансовое обеспечение получения начального общего, основного общего, среднего общего образования в муниципальных общеобразовательных организациях, дополнительного образования детей в муниципальных общеобразовательных организациях</t>
  </si>
  <si>
    <t>Субсидии бюджетам муниципальных районов на проведение кадастровых работ по формированию земельных участков для реализации Закона Республики Бурятия от 16.10.2002 № 115-III "О бесплатном предоставлении в собственность земельных участков, находящихся в государственной и муниципальной собственности"</t>
  </si>
  <si>
    <t>Субсидии бюджетам муниципальных районов (городских округов) на повышение средней заработной платы педагогических работников муниципальных учреждений дополнительного образования отрасли "Культура" в целях выполнения Указа Президента Российской Федерации от 1 июня 2012 года N 761 "О Национальной стратегии действий в интересах детей на 2012 - 2017 годы"</t>
  </si>
  <si>
    <t>Субсидии бюджетам муниципальных районов на реализацию мероприятий по обеспечению деятельности по охране правопорядка и общественной безопасности</t>
  </si>
  <si>
    <t xml:space="preserve">Субвенции местным бюджетам на администрирование передаваемых органам местного самоуправления государственных полномочий организации и обеспечению отдыха и оздоровления детей </t>
  </si>
  <si>
    <t xml:space="preserve">Дотация на выравнивание бюджетной обеспеченности муниципальных районов (городских округов) из республиканского бюджета  </t>
  </si>
  <si>
    <t xml:space="preserve">Субсидия бюджетам муниципальных районов,  городских округов на дорожную деятельность в отношении автомобильных дорог общего пользования местного значения </t>
  </si>
  <si>
    <t xml:space="preserve">Субсидия бюджетам муниципальных районов (городских округов) на повышение средней заработной платы педагогических работников муниципальных учреждений дополнительного образования отрасли "Культура" в целях выполнения Указа Президента Российской Федерации от 1 июня 2012 года N 761 "О Национальной стратегии действий в интересах детей на 2012 - 2017 годы" </t>
  </si>
  <si>
    <t xml:space="preserve">Субвенция местным бюджетам на осуществление государственных полномочий по организации и осуществлению деятельности по опеке и попечительству в Республике Бурятия </t>
  </si>
  <si>
    <t xml:space="preserve">Субвенции на осуществление государственных полномочий по хранению, комплектованию, учету и использованию архивного фонда Республики Бурятия </t>
  </si>
  <si>
    <t>Субвенции местным бюджетам на осуществление государственных полномочий по образованию и  организации деятельности комиссий по делам несовершеннолетних и защите их прав в Республике Бурятия</t>
  </si>
  <si>
    <t xml:space="preserve">Субвенции местным бюджетам на осуществление и администрирование отдельного государственного полномочия по поддержке сельскохозяйственного производства </t>
  </si>
  <si>
    <t>Субвенции местным бюджетам на администрирование отдельного государственного полномочия  по отлову и содержанию безнадзорных домашних животных</t>
  </si>
  <si>
    <t xml:space="preserve">Субвенции местным бюджетам на администрирование передаваемых органам местного самоуправления государственных полномочий по организации и обеспечению отдыха и оздоровления детей </t>
  </si>
  <si>
    <t xml:space="preserve">Субсидии бюджетам муниципальных образований на реализацию мероприятий по обеспечению жильем молодых семей </t>
  </si>
  <si>
    <t>Субсидии муниципальным учреждениям, реализующим программы спортивной подготовки</t>
  </si>
  <si>
    <t xml:space="preserve">Субсидии бюджетам муниципальных районов (городских округов) на увеличение охвата детей дополнительным образованием </t>
  </si>
  <si>
    <t xml:space="preserve">Бюджетам муниципальных образований на реализацию мероприятий по обеспечению жильем молодых семей </t>
  </si>
  <si>
    <t xml:space="preserve">Софинансирование из местного бюджета бюджетам муниципальных образований на реализацию мероприятий по обеспечению жильем молодых семей </t>
  </si>
  <si>
    <t>Муниципальным учреждениям, реализующим программы спортивной подготовки</t>
  </si>
  <si>
    <t xml:space="preserve"> Бюджетам муниципальных районов (городских округов) на увеличение охвата детей дополнительным образованием </t>
  </si>
  <si>
    <t>11 0 00 S2Е90</t>
  </si>
  <si>
    <t>Бюджетам муниципальных районов и городских округов в Республике Бурятия на оплату труда обслуживающего персонала муниципальных общеобразовательных организаций</t>
  </si>
  <si>
    <t>Бюджетные инвестиции в объекты капитального строительства государственной (муниципальной) собственности</t>
  </si>
  <si>
    <t xml:space="preserve">Субвенция местным бюджетам на предоставление мер социальной поддержки по оплате коммунальных услуг педагогическим работникам муниципальных дошкольных образовательных организаций, муниципальных образовательных организаций дополнительного образования, бывшим педагогическим работникам образовательных организаций, переведенным специалистам в организации, реализующие программы спортивной подготовки, специалистам организаций, реализующих программы спортивной подготовки, в соответствии с перечнем должностей, утвержденным органом государственной власти Республики Бурятия в области физической культуры и спорта, специалистам муниципальных учреждений культуры,проживающим, работающим в сельских населенных пунктах, рабочих поселках (поселках городского типа) на территории Республики Бурятия </t>
  </si>
  <si>
    <t xml:space="preserve">На предоставление мер социальной поддержки по оплате коммунальных услуг педагогическим работникам муниципальных дошкольных образовательных организаций, муниципальных образовательных организаций дополнительного образования, бывшим педагогическим работникам образовательных организаций, переведенным специалистам в организации, реализующие программы спортивной подготовки, специалистам организаций, реализующих программы спортивной подготовки, в соответствии с перечнем должностей, утвержденным органом государственной власти Республики Бурятия в области физической культуры и спорта, специалистам муниципальных учреждений культуры,проживающим, работающим в сельских населенных пунктах, рабочих поселках (поселках городского типа) на территории Республики Бурятия </t>
  </si>
  <si>
    <t>Софинансирование из местного бюджета муниципальным учреждениям, реализующим программы спортивной подготовки</t>
  </si>
  <si>
    <t>Софинансирование из местного бюджета бюджетам муниципальных районов и городских округов в Республике Бурятия на оплату труда обслуживающего персонала муниципальных общеобразовательных организаций</t>
  </si>
  <si>
    <t>113</t>
  </si>
  <si>
    <t>Иные выплаты, за исключением фонда оплаты труда учреждений , лицам, привлекаемым согласно законодательству для выполнения отдельных полномочий</t>
  </si>
  <si>
    <t>80 0 00 S2340</t>
  </si>
  <si>
    <t xml:space="preserve">Субсидии на финансовое обеспечение затрат в связи с производством, выполнением работ, оказанием услуг, порядком предоставления которых установлено требование о последующем подтверждении их использования в соответствии с условиями и целями предоставления </t>
  </si>
  <si>
    <t xml:space="preserve">Софинансирование из местного бюджета бюджетам муниципальных районов (городских округов) на увеличение охвата детей дополнительным образованием </t>
  </si>
  <si>
    <t>Спорт высших достижений</t>
  </si>
  <si>
    <t xml:space="preserve">Софинансирование из местного бюджета местным бюджетам на организацию и обеспечение отдыха и оздоровления детей в загородных стационарных детских оздоровительных лагерях, оздоровительных лагерях с дневным пребыванием и иных детских лагерях сезонного действия(за исключением загородных стационарных детских оздоровительных лагерей), за исключением организации отдыха детей в каникулярное время и обеспечения прав детей, находящихся в трудной жизненной ситуации, на отдых и оздоровление. </t>
  </si>
  <si>
    <t>2 02 25467 05 0000 150</t>
  </si>
  <si>
    <t>15 0 00 00000</t>
  </si>
  <si>
    <t>Финансовая поддержка ТОС посредсвом республиканского конкурса "Лучшее территориальное общественное самоуправление"</t>
  </si>
  <si>
    <t>На реализацию первоочередных мероприятий по модернизации, капитальному ремонту и подготовке к отопительному сезону объектов коммунальной инфраструктуры, находящихся в муниципальной собственности</t>
  </si>
  <si>
    <t>Софинансирование из местного бюджета бюджетам муниципальных образований на реализацию мероприятия по благоустройству сельских территорий Государственной программы Республики Бурятия "Комплексное развитие сельских территорий Республики Бурятия".</t>
  </si>
  <si>
    <t xml:space="preserve">Субсидии бюджетам муниципальных образований на развитие общественной инфраструктуры, капитальный ремонт, реконструкция, строительство объектов образования, физической культуры и спорта, культуры, дорожного хозяйства, жилищно-коммунального хозяйства </t>
  </si>
  <si>
    <t>Субсидии бюджетам муниципальных образований на софинансирование мероприятий по строительству, реконструкции объектов дошкольного образования</t>
  </si>
  <si>
    <t>Иные межбюджетные трансферты на ежемесячное денежное вознаграждение за классное руководство педагогичеким работникам государственных и муниципальных общеобразовательных учреждений</t>
  </si>
  <si>
    <t>2 02 45303 05 0000 150</t>
  </si>
  <si>
    <t>Субвенции местным бюджетам на администрирование передаваемых органам местного самоуправления государственных полномочий по Закону Республики Бурятия от 8 июля 2008 года N 394-IV "О наделении органов местного самоуправления муниципальных районов и городских округов в Республике Бурятия отдельными государственными полномочиями в области образования"</t>
  </si>
  <si>
    <t>15 0 00 S2140</t>
  </si>
  <si>
    <t>15 0 00 S2980</t>
  </si>
  <si>
    <t>Бюджетам муниципальных районов, городских округов на дорожную деятельность в отношении автомобильных дорог общего пользования местного значени</t>
  </si>
  <si>
    <t>14 9 00 00140</t>
  </si>
  <si>
    <t>Муниципальная программа"Повышение безопасности дорожного движения  Кяхтинского района на 2020-2022 годы"</t>
  </si>
  <si>
    <t>06 000Д0100</t>
  </si>
  <si>
    <t>Местным бюджетам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</si>
  <si>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Бюджетам муниципальных образований на организацию горячего питания обучающихся, получающих основное общее, среднее общее образование в муниципальных образовательных организациях</t>
  </si>
  <si>
    <t>Софинансирование из местного бюджета бюджетам муниципальных образований на организацию горячего питания обучающихся, получающих основное общее, среднее общее образование в муниципальных образовательных организациях</t>
  </si>
  <si>
    <t>На ежемесячное денежное вознаграждение за классное руководство педагогичеким работникам государственных и муниципальных общеобразовательных учреждений</t>
  </si>
  <si>
    <t>5120153030</t>
  </si>
  <si>
    <t>Бюджетам муниципальных образований на приобретение объектов недвижимого имущества в муниципальную собственность в отрасли образование</t>
  </si>
  <si>
    <t>Бюджетам муниципальных образований на софинасирование мероприятий по строительству , реконструкции объектов дошкольного образования</t>
  </si>
  <si>
    <t>99 9 00 88020</t>
  </si>
  <si>
    <t>МП "Укрепление общественного здоровья населения в Кяхтинском районе Республики Бурятия на 2020-2022 годы"</t>
  </si>
  <si>
    <t>бюджетные инвестиции</t>
  </si>
  <si>
    <t>5110272И90</t>
  </si>
  <si>
    <t>5120272Л30</t>
  </si>
  <si>
    <t>Муниципальная программа "Энергосбережение и повышение энергетической эффективности в муниципальном образовании "Кяхтинский район" на 2021-2023 годы»</t>
  </si>
  <si>
    <t>Муниципальная программа " Молодежь Кяхтинского района" на 2021-2023 годы</t>
  </si>
  <si>
    <t xml:space="preserve">Подпрограмма "Мероприятия по молодежной политике"на 2021-2023 годы </t>
  </si>
  <si>
    <t>Муниципальная программа "Развитие физической культуры и спорта в МО "Кяхтинский район" на 2021-2023 годы "</t>
  </si>
  <si>
    <t>Муниципальная программа "Организация общественных и временных работ в МО " Кяхтинский район"  на 2021-2023гг"</t>
  </si>
  <si>
    <t xml:space="preserve">Местным бюджетам на обеспечение прав детей, находящихся в трудной жизненной ситуации, на отдых и оздоровление </t>
  </si>
  <si>
    <t>Субвенции местным бюджетам на обеспечение прав детей находящихся в трудной жизненной ситуации, на организацию деятельности</t>
  </si>
  <si>
    <t>Бюджетам муниципальных районов(городских округов) на софинансирование расходных обязательств муниципальных районов(городских округов) на содержание и обеспечение деятельности(оказание услуг) муниципальных учреждений</t>
  </si>
  <si>
    <t>Софинансирование из местного бюджета бюджетам муниципальных районов(городских округов) на софинансирование расходных обязательств муниципальных районов(городских округов) на содержание и обеспечение деятельности(оказание услуг) муниципальных учреждений</t>
  </si>
  <si>
    <t>934,936</t>
  </si>
  <si>
    <t xml:space="preserve">На обеспечение профессиональной переподготовки, повышения квалификации глав муниципальных образований и муниципальных служащих </t>
  </si>
  <si>
    <t>07 0 00 00000</t>
  </si>
  <si>
    <t>07 1 00 00000</t>
  </si>
  <si>
    <t xml:space="preserve">Оказание услуг по реализации общеобразовательных программ дошкольного образования (детские сады), в том числе на содержание имущества </t>
  </si>
  <si>
    <t>07 1 01 00000</t>
  </si>
  <si>
    <t>07 1 01 83010</t>
  </si>
  <si>
    <t>07 1 01 73020</t>
  </si>
  <si>
    <t>Оказание услуг по предоставлению общедоступного и бесплатного начального, общего, основного общего, среднего общего образования</t>
  </si>
  <si>
    <t>07000 00000</t>
  </si>
  <si>
    <t>07200 0000</t>
  </si>
  <si>
    <t>0720200000</t>
  </si>
  <si>
    <t>07202 83020</t>
  </si>
  <si>
    <t>07202 73020</t>
  </si>
  <si>
    <t>07202 73030</t>
  </si>
  <si>
    <t>07202 73040</t>
  </si>
  <si>
    <t>07202 S2К90</t>
  </si>
  <si>
    <t>07202S2В40</t>
  </si>
  <si>
    <t>07202 S2В40</t>
  </si>
  <si>
    <t>Оказание услуг по организации летнего отдыха, оздоровления и занятости детей и подростков</t>
  </si>
  <si>
    <t>07300 00000</t>
  </si>
  <si>
    <t>Оказание услуг по  реализации образовательных программ дополнительного образования, в том числе на содержание имущества</t>
  </si>
  <si>
    <t>07303 00000</t>
  </si>
  <si>
    <t>07303 S2120</t>
  </si>
  <si>
    <t>07303 83030</t>
  </si>
  <si>
    <t>07400 0000</t>
  </si>
  <si>
    <t>07404 00000</t>
  </si>
  <si>
    <t>07404 83040</t>
  </si>
  <si>
    <t>07404 73050</t>
  </si>
  <si>
    <t>07404 73140</t>
  </si>
  <si>
    <t>07404 73190</t>
  </si>
  <si>
    <t>07500 20003</t>
  </si>
  <si>
    <t>оказание услуг по организации подготовки и проведения государственной(итоговой) аттестации выпускников IX и XI(XII) классов.</t>
  </si>
  <si>
    <t>07505 20003</t>
  </si>
  <si>
    <t>Обеспечение деятельности  функционирования образовательных учреждений (аппарат управления, учебно-методические кабинеты, централизованные бухгалтерии)</t>
  </si>
  <si>
    <t>07600 00000</t>
  </si>
  <si>
    <t>07606 00000</t>
  </si>
  <si>
    <t>07606 91000</t>
  </si>
  <si>
    <t>07606 91020</t>
  </si>
  <si>
    <t>60  000 00000</t>
  </si>
  <si>
    <t>60 0 00 00000</t>
  </si>
  <si>
    <t xml:space="preserve">Иные межбюджетные трансферты на первоочередные расходы сельских и городских поселений </t>
  </si>
  <si>
    <t>60  001 00000</t>
  </si>
  <si>
    <t>60  001 60007</t>
  </si>
  <si>
    <t>60 002 60007</t>
  </si>
  <si>
    <t>60002 73090</t>
  </si>
  <si>
    <t>60002 00000</t>
  </si>
  <si>
    <t>33 0 00 00000</t>
  </si>
  <si>
    <t>12 0 00 0000</t>
  </si>
  <si>
    <t>06 000 00000</t>
  </si>
  <si>
    <t>55 0 00 00000</t>
  </si>
  <si>
    <t>Предоставление социальных выплат молодым семьям  на приобретение (строительство жилья)</t>
  </si>
  <si>
    <t>11 1 00 00000</t>
  </si>
  <si>
    <t>12 0 01 L5760</t>
  </si>
  <si>
    <t>30000 00000</t>
  </si>
  <si>
    <t>30004 00000</t>
  </si>
  <si>
    <t>30004 84600</t>
  </si>
  <si>
    <t>66 2 03 00000</t>
  </si>
  <si>
    <t>66 2 03 54003</t>
  </si>
  <si>
    <t>Проведение выборов главы муниципального образования, депутатов представительного органа</t>
  </si>
  <si>
    <t>Комплексное развитие строительного и жилищно-коммунального комплекса, повышение качества жилищно-коммунальных услуг МО "Кяхтинский район"</t>
  </si>
  <si>
    <t>Повышение эффективности использования муниципального имущества и земель МО "Кяхтинский район", позволяющее максимизировать пополнение доходной части бюджета .</t>
  </si>
  <si>
    <t>07606 83040</t>
  </si>
  <si>
    <t>07606 73160</t>
  </si>
  <si>
    <t>07606 73060</t>
  </si>
  <si>
    <t>07606 S2160</t>
  </si>
  <si>
    <t>Повышение эффективности управления муниципальными финансами</t>
  </si>
  <si>
    <t>Предоставление межбюджетных трансфертов муниципальным образованиям</t>
  </si>
  <si>
    <t>Меропрития по повышению противопожарной защиты и соблюдению первичных мер пожарной безопасности</t>
  </si>
  <si>
    <t>Создание условий для производства продукции  в отраслях сельского хзяйства</t>
  </si>
  <si>
    <t>Улучшение инвестиционного климата</t>
  </si>
  <si>
    <t>Проведение профилактической работы среди населения по безопасности дорожного движения и создания условий для обеспечения дорожной деятельности в отношении автомобильных дорого местного значения в границах населенных пунктов поселений</t>
  </si>
  <si>
    <t>Мероприятия по профилактике преступления и иных правонарушений</t>
  </si>
  <si>
    <t xml:space="preserve">Улучшение развития деятельности по отрасли "Культура" </t>
  </si>
  <si>
    <t>Работа с детьми и молодежью Кяхтинского района</t>
  </si>
  <si>
    <t>Мероприятия по улучшению энергосбережения и повышение энергетической эффективности.</t>
  </si>
  <si>
    <t xml:space="preserve"> Привлечение жителей района к ведению здорового образа жизни</t>
  </si>
  <si>
    <t>Организация и проведение спортивно-массовых,  физкультурно-оздоровительных мероприятий</t>
  </si>
  <si>
    <t>Развитие территориальных общественных самоуправлений</t>
  </si>
  <si>
    <t>Мероприятия по организации общественных и временных работ</t>
  </si>
  <si>
    <t>Создание благоприятных , комфортных и безопасных условий проживания населения, развитие и обустройство мест массового отдыха населения</t>
  </si>
  <si>
    <t>Мероприятия по благоустройству сельских территорий</t>
  </si>
  <si>
    <t>60 0 01 00000</t>
  </si>
  <si>
    <t>07 1 01 73180</t>
  </si>
  <si>
    <t>07 2 02 83020</t>
  </si>
  <si>
    <t>07 2 02 00000</t>
  </si>
  <si>
    <t>07 2 00 0000</t>
  </si>
  <si>
    <t>07 2 02 73030</t>
  </si>
  <si>
    <t>07 2 02 73020</t>
  </si>
  <si>
    <t>07 2 02 73040</t>
  </si>
  <si>
    <t>07 2 02 S2890</t>
  </si>
  <si>
    <t>07 2 02 S2В40</t>
  </si>
  <si>
    <t>07 2 02 S2К90</t>
  </si>
  <si>
    <t>51201 53030</t>
  </si>
  <si>
    <t>07 3 03 83030</t>
  </si>
  <si>
    <t>07 3 03 S2Е50</t>
  </si>
  <si>
    <t>07 3 03 S2120</t>
  </si>
  <si>
    <t>07 3 03 73180</t>
  </si>
  <si>
    <t>07 4 04 83040</t>
  </si>
  <si>
    <t>07 4 04 73050</t>
  </si>
  <si>
    <t>07 4 04 73140</t>
  </si>
  <si>
    <t>07 4 04 73190</t>
  </si>
  <si>
    <t>07 5 05 20003</t>
  </si>
  <si>
    <t>07 5 00 20003</t>
  </si>
  <si>
    <t>075 05 20003</t>
  </si>
  <si>
    <t>07,10</t>
  </si>
  <si>
    <t>01,03</t>
  </si>
  <si>
    <t>06 0 00 00000</t>
  </si>
  <si>
    <t>30 0 04 84600</t>
  </si>
  <si>
    <t>07,08</t>
  </si>
  <si>
    <t xml:space="preserve">Развитие деятельности по отрасли "Культура"(в том числе содержание имущества). </t>
  </si>
  <si>
    <t>Мероприятия по профилактике преступления и иных правонврушений</t>
  </si>
  <si>
    <t>11 0 0 00000</t>
  </si>
  <si>
    <t>01,02,03</t>
  </si>
  <si>
    <t>04,10,14</t>
  </si>
  <si>
    <t>03,05</t>
  </si>
  <si>
    <t>999 00 73180</t>
  </si>
  <si>
    <t>999 00 00000</t>
  </si>
  <si>
    <t>Приложение 9</t>
  </si>
  <si>
    <t>06 0 00 Д0200</t>
  </si>
  <si>
    <t>Муниципальная программа ""Безопасность жизнедеятельности в МО "Кяхтинский район" на 2021-2023 годы "</t>
  </si>
  <si>
    <t xml:space="preserve"> Подпрограмма "Обеспечение деятельности администрации МО "Кяхтинский район"</t>
  </si>
  <si>
    <t>Обеспечение  деятельности Администрации МО «Кяхтинский район( в том числе содержание имущества)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</si>
  <si>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</si>
  <si>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</si>
  <si>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незаконную рубку, повреждение лесных насаждений или самовольное выкапывание в лесах деревьев, кустарников, лиан)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</si>
  <si>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</si>
  <si>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</t>
  </si>
  <si>
    <r>
      <t>Административные штрафы, установленные</t>
    </r>
    <r>
      <rPr>
        <b/>
        <sz val="9"/>
        <rFont val="Times New Roman"/>
        <family val="1"/>
        <charset val="204"/>
      </rPr>
      <t xml:space="preserve"> Главой 5</t>
    </r>
    <r>
      <rPr>
        <sz val="9"/>
        <rFont val="Times New Roman"/>
        <family val="1"/>
        <charset val="204"/>
      </rPr>
      <t xml:space="preserve">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</t>
    </r>
  </si>
  <si>
    <r>
      <t>Административные штрафы, установленные</t>
    </r>
    <r>
      <rPr>
        <b/>
        <sz val="9"/>
        <rFont val="Times New Roman"/>
        <family val="1"/>
        <charset val="204"/>
      </rPr>
      <t xml:space="preserve"> Главой 15 </t>
    </r>
    <r>
      <rPr>
        <sz val="9"/>
        <rFont val="Times New Roman"/>
        <family val="1"/>
        <charset val="204"/>
      </rPr>
      <t>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  </r>
  </si>
  <si>
    <r>
      <t xml:space="preserve">Административные штрафы, установленные </t>
    </r>
    <r>
      <rPr>
        <b/>
        <sz val="9"/>
        <rFont val="Times New Roman"/>
        <family val="1"/>
        <charset val="204"/>
      </rPr>
      <t>Главой 19</t>
    </r>
    <r>
      <rPr>
        <sz val="9"/>
        <rFont val="Times New Roman"/>
        <family val="1"/>
        <charset val="204"/>
      </rPr>
      <t xml:space="preserve">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</t>
    </r>
  </si>
  <si>
    <t>07202 S2160</t>
  </si>
  <si>
    <t>Подпрограмма "Укрепление материально-технической базы и усиление комплексной безопасности образовательных учреждений на 2020-2022 годы"</t>
  </si>
  <si>
    <t>Укрепление материально-технической базы и мероприятия по комплексной безопасности образовательных учреждений</t>
  </si>
  <si>
    <t>Подпрограмма "Кадровое обеспечение системы образования на 2020-2022 годы"</t>
  </si>
  <si>
    <t xml:space="preserve">Обслуживание государственного и муниципального долга </t>
  </si>
  <si>
    <t>Обслуживание муниципального долга</t>
  </si>
  <si>
    <t>730</t>
  </si>
  <si>
    <t>0770783060</t>
  </si>
  <si>
    <t xml:space="preserve">07 7 00 0000 </t>
  </si>
  <si>
    <t>07 7 07 00000</t>
  </si>
  <si>
    <t>07 8 00 00000</t>
  </si>
  <si>
    <t>07 8 08 00000</t>
  </si>
  <si>
    <t xml:space="preserve">07 7 00 00000 </t>
  </si>
  <si>
    <t>07808S2890</t>
  </si>
  <si>
    <t>07 1 01 S2160</t>
  </si>
  <si>
    <t>07303 S2160</t>
  </si>
  <si>
    <t>07 8 0883070</t>
  </si>
  <si>
    <t>Организация проведения мероприятий  кадровой политики в сфере образования</t>
  </si>
  <si>
    <t>Мероприятия по укреплению материально-технической базы и  по комплексной безопасности  учреждений отрасли "Образование"</t>
  </si>
  <si>
    <t xml:space="preserve">Обслуживание государственного внутреннего и муниципального долга </t>
  </si>
  <si>
    <t>02,09</t>
  </si>
  <si>
    <t>073 03 83030</t>
  </si>
  <si>
    <t xml:space="preserve"> Субсидии  на организацию горячего питания обучающихся, получающих основное общее, среднее общее образование в муниципальных образовательных организациях</t>
  </si>
  <si>
    <t>Субсидии на софинансирование расходных обязательств муниципальных районов (городских округов) на содержание и обеспечение деятельности (оказание услуг) муниципальных учреждений</t>
  </si>
  <si>
    <t xml:space="preserve">Субсидии  на реализацию мероприятий по сокращению наркосырьевой базы, в том числе с применением химического способа уничтожения дикорастущей конопли </t>
  </si>
  <si>
    <t xml:space="preserve">Субвенции  на администрирование передаваемых органам местного самоуправления государственных полномочий по Закону Республики Бурятия от 8 июля 2008 года N 394-IV "О наделении органов местного самоуправления муниципальных районов и городских округов в Республике Бурятия отдельными государственными полномочиями в области образования" </t>
  </si>
  <si>
    <t xml:space="preserve">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 и пригородном сообщении (кроме железнодорожного транспорта) </t>
  </si>
  <si>
    <t xml:space="preserve">Субвенции на организацию и обеспечение отдыха и оздоровления детей в загородных стационарных детских оздоровительных лагерях, оздоровительных лагерях с дневным пребыванием и иных детских лагерях сезонного действия (за исключением загородных стационарных детских оздоровительных лагерей), за исключением организации отдыха детей в каникулярное время и обеспечения прав детей, находящихся в трудной жизненной ситуации, на отдых и оздоровление </t>
  </si>
  <si>
    <t xml:space="preserve">Субсидии на организацию бесплатного горячего питания обучающихся, получающих начальное общее образование в
 государственных и муниципальных образовательных организациях 
</t>
  </si>
  <si>
    <t>11 0 00 73180</t>
  </si>
  <si>
    <t>На обеспечение компенсации питания родителям (законным представителям) обучающихся в муниципальных 
общеобразовательных организациях, имеющих статус обучающихся с ограниченными возможностями здоровья, обучение которых 
организовано на дому</t>
  </si>
  <si>
    <t>07202S2Л40</t>
  </si>
  <si>
    <t xml:space="preserve">На реализацию мероприятий по сокращению наркосырьевой базы, в том числе с применением химического способа уничтожения дикорастущей конопли </t>
  </si>
  <si>
    <t xml:space="preserve"> Софинансирование из местного бюджета на реализацию мероприятий по сокращению наркосырьевой базы, в том числе с применением химического способа уничтожения дикорастущей конопли </t>
  </si>
  <si>
    <t>66 4 00S2570</t>
  </si>
  <si>
    <t>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</si>
  <si>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Софинансирование из местного бюджета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</si>
  <si>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51202L3040</t>
  </si>
  <si>
    <t>Таблица 2.6</t>
  </si>
  <si>
    <t>07202S2Л10</t>
  </si>
  <si>
    <t>07 2 02 S2Л10</t>
  </si>
  <si>
    <t>247</t>
  </si>
  <si>
    <t>Закупка энергетических ресурсов</t>
  </si>
  <si>
    <t>360</t>
  </si>
  <si>
    <t>Мероприятия по профилактике и борьбе с заразными болезнями общими для человека и животных</t>
  </si>
  <si>
    <t>Распределение иных межбюджетных трансфертов бюджетам городских и сельских поселений МО "Кяхтинский район"  для реализации программ формирования современной городской среды</t>
  </si>
  <si>
    <t>Наименование  ГП СП</t>
  </si>
  <si>
    <t>сумма (тыс.руб)</t>
  </si>
  <si>
    <t>СП Хоронхойское</t>
  </si>
  <si>
    <t>Распределение софинансирования из местного бюджета иных межбюджетных трансфертов бюджетам городских и сельских поселений МО "Кяхтинский район"  для реализации программ формирования современной городской среды</t>
  </si>
  <si>
    <t xml:space="preserve">сумма </t>
  </si>
  <si>
    <t>Осуществление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</si>
  <si>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 xml:space="preserve">Возврат неиспользованных остатков иных межбюджетных трансфертов по переданным полномочиям на содержание автомобильных дорог общего пользования местного значения </t>
  </si>
  <si>
    <t>Возврат неиспользованных остатков субсидии на капитальный ремонт автодороги по ул.Старчака в г.Кяхта в Кяхтинском районе Республики Бурятия</t>
  </si>
  <si>
    <t xml:space="preserve">Возврат неиспользованных остатков субвенции местным бюджетам на выплату вознаграждения за выполнение функций классного руководителя педагогическим работникам муниципальных образовательных организаций, реализующих образовательные программы начального  общего, основного общего, среднего общего образования </t>
  </si>
  <si>
    <t>Резервный фонд финансирования непредвиденных расходов Правительства Республики Бурятия</t>
  </si>
  <si>
    <t>Иные межбюджетные трансферты бюджетам муниципальных образований на реализацию мероприятий по благоустройству сельских территорий Государственной программы Республики Бурятия "Комплексное развитие сельских территорий Республики Бурятия".</t>
  </si>
  <si>
    <t>66 2 03 74030</t>
  </si>
  <si>
    <t>Создание условий для успешной интеграции детей в возрасте от 14 до 18 лет в трудовую деятельность</t>
  </si>
  <si>
    <t>7000021003</t>
  </si>
  <si>
    <t>Расходы по организации мероприятий по кадровой политике в сфере «Образования</t>
  </si>
  <si>
    <t>931,934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</si>
  <si>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районов)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</si>
  <si>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территорий</t>
  </si>
  <si>
    <t>Софинансирование из местного бюджета на обеспечение компенсации питания родителям (законным представителям) обучающихся в муниципальных 
общеобразовательных организациях, имеющих статус обучающихся с ограниченными возможностями здоровья, обучение которых 
организовано на дому</t>
  </si>
  <si>
    <t>На софинансирование из местного бюджета на обеспечение компенсации питания родителям (законным представителям) обучающихся в муниципальных 
общеобразовательных организациях, имеющих статус обучающихся с ограниченными возможностями здоровья, обучение которых 
организовано на дому</t>
  </si>
  <si>
    <t>Проведение комплексных кадастровых работ</t>
  </si>
  <si>
    <t>Реализация мероприятий регионального проекта "Социальная активность"</t>
  </si>
  <si>
    <t>Софинансирование из местного бюджета на проведение комплексных кадастровых работ</t>
  </si>
  <si>
    <t>60 1 02 L5110</t>
  </si>
  <si>
    <t>11 2 00 00000</t>
  </si>
  <si>
    <t>11 2 01 83890</t>
  </si>
  <si>
    <t>Софинансирование из местного бюджета на реализацию мероприятий регионального проекта "Социальная активность"</t>
  </si>
  <si>
    <t>07 1 01 74350</t>
  </si>
  <si>
    <t>МП "Профилактика терроризма и экстремизма на территории Кяхтинского района Республики Бурятия на 2021-2023 годы"</t>
  </si>
  <si>
    <t>Администрирование отдельного государственного полномочия на капитальный (текущий) ремонт и содержание сибиреязвенных захоронений и скотомогильников (биотермических ям)</t>
  </si>
  <si>
    <t>Иные выплаты персоналу, за исключением фонда оплаты труда</t>
  </si>
  <si>
    <t>Субсидия на обеспечение сбалансированности местных бюджетов по социально значимым и первоочередным расходам</t>
  </si>
  <si>
    <t>На осуществление отдельного государственного полномочия на капитальный (текущий) ремонт и содержание сибиреязвенных захоронений и скотомогильников (биотермических ям)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</si>
  <si>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</si>
  <si>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13 1 00 00000</t>
  </si>
  <si>
    <t>13 1 00 40400</t>
  </si>
  <si>
    <t>Организация профилактики терроризма и экстремизма на территории Кяхтинского района Республики Бурятия.</t>
  </si>
  <si>
    <t xml:space="preserve"> Организация профилактики терроризма и экстремизма на территории Кяхтинского района Республики Бурятия.</t>
  </si>
  <si>
    <t>Субсидия бюджетам муниципальных районов (городских округов) на создание в общеобразовательных организациях, расположенных в сельской местности и малых городах, условий для занятия физической культурой и спортом</t>
  </si>
  <si>
    <t>Резервный фонд Правительства Республики Бурятия по ликвидации чрезвычайных ситуаций и последствий стихийных бедствий</t>
  </si>
  <si>
    <t>Охрана семьи и детства</t>
  </si>
  <si>
    <t>01,03,04</t>
  </si>
  <si>
    <t>Муниципальная программа "Формирование современной городской среды МО "Кяхтинский район" на 2018-2024 гг"</t>
  </si>
  <si>
    <t>Иные межбюджетные трансферты для реализации муниципальной программы  "Формирование современной городской среды МО "Кяхтинский район" на 2018-2024 г.г."</t>
  </si>
  <si>
    <t>Софинансирование из местного бюджета для реализации муниципальной программы  "Формирование современной городской среды МО "Кяхтинский район" на 2018-2024 года"</t>
  </si>
  <si>
    <t>Иные межбюджетные трансферты для реализации муниципальной программы  "Формирование современной городской среды МО "Кяхтинский район" на 2018-2024 гг"</t>
  </si>
  <si>
    <t>Софинансирование из местного бюджета для реализации муниципальной программы  "Формирование современной городской среды МО "Кяхтинский район" на 2018-2024 гг"</t>
  </si>
  <si>
    <t>Субсидии  на софинансирование мероприятий по строительству, реконструкции объектов дошкольного образования</t>
  </si>
  <si>
    <t>На обеспечение муниципальных дошкольных и общеобразовательных организаций педагогическими работниками</t>
  </si>
  <si>
    <t xml:space="preserve">Софинансирование из местного бюджета местным бюджетам на обеспечение прав детей, находящихся в трудной жизненной ситуации, на отдых и оздоровление </t>
  </si>
  <si>
    <t>Иные межбюджетные трансферты муниципальным образованиям на содержание автомобильных дорог общего пользования местного значения, в том числе обеспечение безопасности дорожного движения и аварийно-восстановительные работы</t>
  </si>
  <si>
    <t>07707 83060</t>
  </si>
  <si>
    <t>2 02 25304 05 0000 150</t>
  </si>
  <si>
    <t>2 02 25511 05 0000 150</t>
  </si>
  <si>
    <t>Возврат неиспользованных остатков субсидии бюджетам муниципальных районов на обеспечение муниципальных дошкольных и общеобразовательных организаций педагогическими работниками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</si>
  <si>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</t>
  </si>
  <si>
    <t>НА 2023г</t>
  </si>
  <si>
    <t>НА 2024г</t>
  </si>
  <si>
    <t>Иные межбюджетные трансферты на организацию бесплатного горячего питания обцчающихся, получающих начальное общее образование в государственных и муниципальных организациях</t>
  </si>
  <si>
    <t>33 0 0173220</t>
  </si>
  <si>
    <t>33 0 01 73200</t>
  </si>
  <si>
    <t>33 0 0173200</t>
  </si>
  <si>
    <t>33 0 0173170</t>
  </si>
  <si>
    <t>33 0 0173240</t>
  </si>
  <si>
    <t>12 0 00 73070</t>
  </si>
  <si>
    <t>12 0 00 73080</t>
  </si>
  <si>
    <t>Центральный аппарат</t>
  </si>
  <si>
    <t>851</t>
  </si>
  <si>
    <t>852</t>
  </si>
  <si>
    <t>66 3 00 00000</t>
  </si>
  <si>
    <t>Муниципальная программа "Развитие строительства в МО "Кяхтинский район" на 2022-2024годы"</t>
  </si>
  <si>
    <t>Муниципальная программа"Улучшение инвестиционного климата в МО "Кяхтинский район" на 2022-2024 годы."</t>
  </si>
  <si>
    <t>11 0 00 S2200</t>
  </si>
  <si>
    <t>Расходы на обеспечение деятельности учреждений физической культуры и спорта</t>
  </si>
  <si>
    <t>12 0 00 82100</t>
  </si>
  <si>
    <t>12 0 00 87000</t>
  </si>
  <si>
    <t>33 0 01 00000</t>
  </si>
  <si>
    <t>12 0 00  87000</t>
  </si>
  <si>
    <t>Муниципальная программа "Развитие  имущественных и земельных отношений в МО "Кяхтинский район"на 2022-2024 годы"</t>
  </si>
  <si>
    <t>934,937</t>
  </si>
  <si>
    <t>12 0 00 80900</t>
  </si>
  <si>
    <t xml:space="preserve"> Муниципальная программа "Развитие имущественных и земельных отношений в МО "Кяхтинский район" на 2022-2024 годы" </t>
  </si>
  <si>
    <t>937,936,934</t>
  </si>
  <si>
    <t>Муниципальная программа"Улучшение инвестиционного климата в МО "Кяхтинский район" на 2022-2024 годы"</t>
  </si>
  <si>
    <t xml:space="preserve"> Подпрограмма "Развитие имиджа МО "Кяхтинский район"</t>
  </si>
  <si>
    <t>Муниципальная программа "Обеспечение деятельности Администрации муниципального образования "Кяхтинский район" на 2022-2024 годы</t>
  </si>
  <si>
    <t>Повышение эффективности управления, создание условий для профессионального развития и подготовки кадров муниципальной службы</t>
  </si>
  <si>
    <t xml:space="preserve"> Подпрограмма "Обеспечение деятельности административно-хозяйственной части администрации МО "Кяхтинский район"</t>
  </si>
  <si>
    <t>Обеспечение  деятельности административно-хозяйственной части Администрации МО «Кяхтинский район"</t>
  </si>
  <si>
    <t>67 0 00 000000</t>
  </si>
  <si>
    <t>67 1 00  00000</t>
  </si>
  <si>
    <t>67 1 02 00000</t>
  </si>
  <si>
    <t>67 1 02 91010</t>
  </si>
  <si>
    <t>67 1 03 00000</t>
  </si>
  <si>
    <t>Расходы по содержанию органов местного самоуправления, направленные на выполнение полномочий субъекта Российской Федерации</t>
  </si>
  <si>
    <t>67 1 02 C0200</t>
  </si>
  <si>
    <t xml:space="preserve">Освещение деятельности органов местного самоуправления муниципального образования "Кяхтинский район" </t>
  </si>
  <si>
    <t>Подпрограмма "Развитие муниципальной службы в МО "Кяхтинский район" на 2022-2024 годы"</t>
  </si>
  <si>
    <t>67 0 00 00000</t>
  </si>
  <si>
    <t>67 1 03 51200</t>
  </si>
  <si>
    <t>67 1 03 73100</t>
  </si>
  <si>
    <t>67 1 03 73110</t>
  </si>
  <si>
    <t>671 03 73120</t>
  </si>
  <si>
    <t>67 1 03 73130</t>
  </si>
  <si>
    <t>67 1 03 73150</t>
  </si>
  <si>
    <t>67 1 03 73250</t>
  </si>
  <si>
    <t>67 2 00 00000</t>
  </si>
  <si>
    <t>67 2 00 54005</t>
  </si>
  <si>
    <t>67 1 00 00000</t>
  </si>
  <si>
    <t>67 1 02 91020</t>
  </si>
  <si>
    <t>67 1 03 73120</t>
  </si>
  <si>
    <t>671 03 73010</t>
  </si>
  <si>
    <t>Муниципальная программа "Развитие строительства в МО "Кяхтинский район" на 2022-2024 годы"</t>
  </si>
  <si>
    <t>Обеспечение проведения выборов и референдумов</t>
  </si>
  <si>
    <t>Специальные расходы</t>
  </si>
  <si>
    <t>Субсидии на подготовку проектов межевания и проведение кадастровых работ в отношении земельных участков, выделяемых в счет земельных долей</t>
  </si>
  <si>
    <t>Субсидии на создание центров цифрового образования детей</t>
  </si>
  <si>
    <t>Таблица 2.2</t>
  </si>
  <si>
    <t>Таблица 2.3</t>
  </si>
  <si>
    <t>Таблица 2.4</t>
  </si>
  <si>
    <t>Субвенция местным бюджетам на предоставление мер социальной поддержки по оплате коммунальных услуг педагогическим работникам муниципальных дошкольных образовательных организаций, муниципальных образовательных организаций дополнительного образования, бывшим педагогическим работникам образовательных организаций, переведенным специалистам в организации, реализующие программы спортивной подготовки, специалистам организаций, реализующих программы спортивной подготовки, в соответствии с перечнем должностей, утвержденным органом государственной власти Республики Бурятия в области физической культуры и спорта, специалистам муниципальных учреждений культуры,проживающим, работающим в сельских населенных пунктах, рабочих поселках (поселках городского типа) на территории Республики Бурятия</t>
  </si>
  <si>
    <t xml:space="preserve"> «О бюджете муниципального образования  «Кяхтинский район» </t>
  </si>
  <si>
    <t>Содержание автомобильных дорог общего пользования местного значения</t>
  </si>
  <si>
    <t>в т.ч. За счет РБ</t>
  </si>
  <si>
    <t>Муниципальная программа "Обеспечение деятельности органов местного самоуправления и административно-хозяйственной службы муниципального образования "Кяхтинский район" на 2022-2024 годы</t>
  </si>
  <si>
    <t>Подпрограмма "Обеспечение деятельности органов местного самоуправления в МО "Кяхтинский район" на 2022-2024 годы"</t>
  </si>
  <si>
    <t>Субсидии на реализацию первоочередных мероприятий по модернизации, капитальному ремонту и подготовке к отопительному сезону объектов коммунальной инфраструктуры, находящихся в муниципальной собственности</t>
  </si>
  <si>
    <t>Субсидии на 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</t>
  </si>
  <si>
    <t>63 3 R1 53940</t>
  </si>
  <si>
    <t>67 2 00 S2160</t>
  </si>
  <si>
    <t>67 1 02 S2160</t>
  </si>
  <si>
    <t>Государственная поддержка отрасли культуры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</si>
  <si>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</si>
  <si>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Возврат неиспользованных остатков субсидии бюджетам муниципальных образований на развитие общественной инфраструктуры, капитальный ремонт, реконструкция, строительство объектов образования, физической культуры и спорта, культуры, дорожного хозяйства, жилищно-коммунального хозяйства </t>
  </si>
  <si>
    <t xml:space="preserve">Возврат неиспользованных остатков субвенция бюджетам муниципальных районов на осуществление государственных полномочий по расчету и предоставлению дотаций поселениям </t>
  </si>
  <si>
    <t xml:space="preserve">Возврат неиспользованных остатков субвенции местным бюджетам на осуществление отдельных государственных полномочий по уведомительной регистрации коллективных договоров </t>
  </si>
  <si>
    <t>Возврат неиспользованных остатков иных межбюджетных трансфертов на ежемесячное денежное вознаграждение за классное руководство педагогичеким работникам государственных и муниципальных общеобразовательных учреждений</t>
  </si>
  <si>
    <t>Возврат неиспользованных остатков субсидии из республиканского бюджета бюджетам муниципальных районов и городских округов в Республике Бурятия на оплату труда обслуживающего персонала в муниципальных общеобразовательных организаций</t>
  </si>
  <si>
    <t>Возврат неиспользованных остатков субвенции на организацию и обеспечение отдыха и оздоровления детей в загородных стационарных детских оздоровительных лагерях, оздоровительных лагерях с дневным пребыванием и иных детских лагерях сезонного действия (за исключением загородных стационарных детских оздоровительных лагерей), за исключением организации отдыха детей в каникулярное время и обеспечения прав детей, находящихся в трудной жизненной ситуации, на отдых и оздоровление</t>
  </si>
  <si>
    <t>Софинансирование из местного бюджета бюджетам муниципальных образований на софинасирование мероприятий по строительству , реконструкции объектов дошкольного образования</t>
  </si>
  <si>
    <t>99 1 00 91030</t>
  </si>
  <si>
    <t>99 4 00 C0100</t>
  </si>
  <si>
    <t>99 1 00 91050</t>
  </si>
  <si>
    <t>99 1 00 91060</t>
  </si>
  <si>
    <t>06 0 00 S21ДО</t>
  </si>
  <si>
    <t>Софинансирование из местного бюджета бюджетам муниципальных районов, городских округов на дорожную деятельность в отношении автомобильных дорог общего пользования местного значени</t>
  </si>
  <si>
    <t>Возврат неиспользованных остатков субвенции бюджетам муниципальных образований на финансовое обеспечение получения дошкольного образования в муниципальных общеобразовательных организациях</t>
  </si>
  <si>
    <t>Реализация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</si>
  <si>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Реализация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округа, за счет средств республиканского бюджета</t>
  </si>
  <si>
    <t>На 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</si>
  <si>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</si>
  <si>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</si>
  <si>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>937 1 11 05013 05 0000 120</t>
  </si>
  <si>
    <t>934 1 11 09045 05 0000 120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</si>
  <si>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</si>
  <si>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937 1 14 06013 05 0000 430</t>
  </si>
  <si>
    <t>33 0 01 73220</t>
  </si>
  <si>
    <t>33 0 01 73170</t>
  </si>
  <si>
    <t>14 1 00 00000</t>
  </si>
  <si>
    <t>14 1 00 23000</t>
  </si>
  <si>
    <t>Муниципальная программа "Сохранение и развитие бурятского языка на территории МО "Кяхтинский район" на 2022-2024 годы."</t>
  </si>
  <si>
    <t>Создание условий  для сохранения, поддержки и развития различных форм образовательной, культурно-досуговой деятельности, направленных на популяризацию, сохранение и развитие бурятского языка.</t>
  </si>
  <si>
    <t>937 1 11 05013 13 0000 120</t>
  </si>
  <si>
    <t>937 1 11 05035 05 0000 120</t>
  </si>
  <si>
    <t>820 1 16 01053 01 0000 140</t>
  </si>
  <si>
    <t>841 1 16 01053 01 0000 140</t>
  </si>
  <si>
    <t>820 1 16 01063 01 0000 140</t>
  </si>
  <si>
    <t>841 1 16 01063 01 0000 140</t>
  </si>
  <si>
    <t>841 1 16 01073 01 0000 140</t>
  </si>
  <si>
    <t>841 1 16 01083 01 0000 140</t>
  </si>
  <si>
    <t>841 1 16 01093 01 0000 140</t>
  </si>
  <si>
    <t>841 1 16  01153 01 0000 140</t>
  </si>
  <si>
    <t>841 1 16 01163 01 0000 140</t>
  </si>
  <si>
    <t>841 1 16 01173 01 00000 140</t>
  </si>
  <si>
    <t>841 1 16 01193 01 0000 140</t>
  </si>
  <si>
    <t>820 1 16 01203 01 0000 140</t>
  </si>
  <si>
    <t>841 1 16 01203 01 0000 140</t>
  </si>
  <si>
    <t>820 1 16 02010 02 0000 140</t>
  </si>
  <si>
    <t>188 1 16 10123 01 0000 140</t>
  </si>
  <si>
    <t>835 1 16 10123 01 0000 140</t>
  </si>
  <si>
    <t>931 1 16 10123 01 0000 140</t>
  </si>
  <si>
    <t>835 1 16 11050 01 0000 140</t>
  </si>
  <si>
    <t>Иные межбюджетные трансферты за достижение  показателей деятельности органов исполнительной власти Республики Бурятия</t>
  </si>
  <si>
    <t xml:space="preserve">Улучшение инвестиционного климата </t>
  </si>
  <si>
    <t>Другие вопросы в области храны окружающей среды</t>
  </si>
  <si>
    <t xml:space="preserve">99 9 00 80900 </t>
  </si>
  <si>
    <t>План 2025 год</t>
  </si>
  <si>
    <t>План на 2025 год (тыс.руб)</t>
  </si>
  <si>
    <t>2025 год</t>
  </si>
  <si>
    <t xml:space="preserve">2025 год </t>
  </si>
  <si>
    <t>2025г</t>
  </si>
  <si>
    <t>Муниципальная программа"Комплексное развитие сельских территорий  МО "Кяхтинский район" на 2023-2025 годы."</t>
  </si>
  <si>
    <t>74201L5760</t>
  </si>
  <si>
    <t>Бюджетам муниципальных образований на реализацию мероприятия по благоустройству сельских территорий Государственной программы Республики Бурятия "Комплексное развитие сельских территорий Республики Бурятия".</t>
  </si>
  <si>
    <t>Муниципальная программа «Комплексное развитие сельских территорий МО "Кяхтинского район» на 2023-2025 годы»</t>
  </si>
  <si>
    <t>Меропритяия по улучшению жилищных условий граждан, проживающих в сельской местности</t>
  </si>
  <si>
    <t>Субсидии на финансовое обеспечение дорожной деятельности в рамках реализации национального проекта «Безопасные и качественные автомобильные дороги»</t>
  </si>
  <si>
    <t>Муниципальная программа "Развитие образования в муниципальном образовании "Кяхтинский район на 2023 -2025 г.г."</t>
  </si>
  <si>
    <t>Муниципальная программа "Управление муниципальными финансами в МО "Кяхтинский район" на 2023-2025 годы"</t>
  </si>
  <si>
    <t>Муниципальная программа "Развитие образования в муниципальном образовании "Кяхтинский район на 2023-2025 г.г."</t>
  </si>
  <si>
    <t>Муниципальная программа"Повышение безопасности дорожного движения  Кяхтинского района на 2023-2025 годы"</t>
  </si>
  <si>
    <t>Муниципальная программа "Укрепление общественного здоровья населения в Кяхтинском районе Республики Бурятия на 2023-2025 годы"</t>
  </si>
  <si>
    <t>99 4 00 C0200</t>
  </si>
  <si>
    <t>Расходы на обеспечение функционирования высшего должностного лица муниципального образования</t>
  </si>
  <si>
    <t>99 1 00 91010</t>
  </si>
  <si>
    <t>Расходы на обеспечение деятельности (оказание услуг) учреждений хозяйственного обслуживания</t>
  </si>
  <si>
    <t>99 2 00 83590</t>
  </si>
  <si>
    <t>99 3 00 73100</t>
  </si>
  <si>
    <t>99 3 00 73110</t>
  </si>
  <si>
    <t>99 3 00 73120</t>
  </si>
  <si>
    <t>99 3 00 73010</t>
  </si>
  <si>
    <t xml:space="preserve">Иные межбюджетных трансфертов на ежемесячное денежное вознаграждение воспитателей дошкольных образовательных организаций, реализующих программу погружения в бурятскую языковую среду 
</t>
  </si>
  <si>
    <t>Ежемесячное денежное вознаграждение воспитателей дошкольных образовательных организаций, реализующих рограмму погружения в бурятскую языковую среду</t>
  </si>
  <si>
    <t>07 1 01 74650</t>
  </si>
  <si>
    <t>пенсия</t>
  </si>
  <si>
    <t>рез.фонд</t>
  </si>
  <si>
    <t>рез.фонд гочс</t>
  </si>
  <si>
    <t>сд</t>
  </si>
  <si>
    <t>выборы</t>
  </si>
  <si>
    <t>нвос</t>
  </si>
  <si>
    <t>Подпрограмма "Кадровое обеспечение системы образования на 2023-2025 годы"</t>
  </si>
  <si>
    <t>Субвенции местным бюджетам на обеспечение прав детей, находящихся в трудной  жизненной  ситуации, на отдых и оздоровление и организацию деятельности по обеспечению прав детей, находящихся в трудной жизненной ситуации, на отдых и оздоровление</t>
  </si>
  <si>
    <t>06 0 00 Д0100</t>
  </si>
  <si>
    <t>На финансовое обеспечение дорожной деятельности в рамках реализации национального проекта "Безопасные качественные дороги"</t>
  </si>
  <si>
    <t>937,934</t>
  </si>
  <si>
    <t>99 9 00 S2310</t>
  </si>
  <si>
    <t>99 9 00 S2980</t>
  </si>
  <si>
    <t>Местным бюджетам на обеспечение прав детей, находящихся в трудной жизненной ситуации, на отдых и оздоровление и организацию деятельности по обеспечению прав детей, находящихся в трудной жизненной ситуации, на отдых и оздоровление</t>
  </si>
  <si>
    <t>07404  73140</t>
  </si>
  <si>
    <t>99 3 00  00000</t>
  </si>
  <si>
    <t>99 3 00 73130</t>
  </si>
  <si>
    <t>99 3 00 73150</t>
  </si>
  <si>
    <t>99 3 00 73250</t>
  </si>
  <si>
    <t>99 9 00 51200</t>
  </si>
  <si>
    <t>На внесение изменений в документацию территориального планирования и градостроительного зонирования муниципальных образований в Республике Бурятия</t>
  </si>
  <si>
    <t>12 0 00 S2280</t>
  </si>
  <si>
    <t>Софинансирование из местного бюджета на внесение изменений в документацию территориального планирования и градостроительного зонирования муниципальных образований в Республике Бурятия</t>
  </si>
  <si>
    <t>2025 г.</t>
  </si>
  <si>
    <t>Распределение иных межбюджетных трансфертов в рамках муниципальной программы « Повышение безопасности дорожного движения  Кяхтинского района на 2023-2025 годы"</t>
  </si>
  <si>
    <t>Распределение иных межбюджетных трансфертов в рамках муниципальной программы «Комплексное развитие сельских территорий МО "Кяхтинского район» на 2023-2025 годы»</t>
  </si>
  <si>
    <t>Таблица 2.5</t>
  </si>
  <si>
    <t>12 0 02 00000</t>
  </si>
  <si>
    <t>12 0 02 R5760</t>
  </si>
  <si>
    <r>
      <t xml:space="preserve">Мероприятия по поддержке </t>
    </r>
    <r>
      <rPr>
        <sz val="12"/>
        <color rgb="FF000000"/>
        <rFont val="Times New Roman"/>
        <family val="1"/>
        <charset val="204"/>
      </rPr>
      <t>агропромышленного комплекса</t>
    </r>
  </si>
  <si>
    <t>12 0 01 00000</t>
  </si>
  <si>
    <t>Мероприятия по созданию условий для сохранения, поддержки и развития различных форм образовательной, культурно-досуговой деятельности, направленных на популяризацию, сохранение и развитие бурятского языка.</t>
  </si>
  <si>
    <t>15 0 00 S2280</t>
  </si>
  <si>
    <t>2 02 45179 05 0000 150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</si>
  <si>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</si>
  <si>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</si>
  <si>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512ЕВ5179F</t>
  </si>
  <si>
    <t xml:space="preserve">11 0 00 S2160 </t>
  </si>
  <si>
    <t>15 0 00 72Р10</t>
  </si>
  <si>
    <t>Субсидии на реализацию мероприятий по обеспечению комплексного развития сельских территорий(улучшение жилищных условий граждан, проживающих на сельских территориях)</t>
  </si>
  <si>
    <t>99 2 00 S2160</t>
  </si>
  <si>
    <t xml:space="preserve"> Подпрограмма "Развитие системы общего образования в МО «Кяхтинский  район»"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</si>
  <si>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</si>
  <si>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Иные межбюджетных трансфертов на ежемесячное денежное вознаграждение воспитателей дошкольных образовательных организаций, реализующих программу погружения в бурятскую языковую среду</t>
  </si>
  <si>
    <t>Подпрограмма "Другие вопросы в области образования в муниципальном образовании «Кяхтинский район» на 2023 – 2025 г.г."</t>
  </si>
  <si>
    <t>Подпрограмма "Укрепление материально-технической базы и усиление комплексной безопасности образовательных учреждений на 2023-2025 годы"</t>
  </si>
  <si>
    <t>2 02 25576 05 0000 150</t>
  </si>
  <si>
    <t>2 02 25394 05 0000150</t>
  </si>
  <si>
    <t>2 02 25219 05 0000 150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</si>
  <si>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учреждений</t>
  </si>
  <si>
    <t>На мероприятия по строительству объектов культуры на 2023 год</t>
  </si>
  <si>
    <t>Муниципальная программа "Управление муниципальными финансами в МО "Кяхтинский район" на 2023-2024 годы"</t>
  </si>
  <si>
    <t>182 1 03 00000 00 0000 000</t>
  </si>
  <si>
    <t>182 1 03 02230 01 0000 110</t>
  </si>
  <si>
    <t>182 1 03 02240 01 0000 110</t>
  </si>
  <si>
    <t>182 1 03 02250 01 0000 110</t>
  </si>
  <si>
    <t>182 1 03 02260 01 0000 110</t>
  </si>
  <si>
    <t>Возврат неиспользованных остатков иных межбюджетных трансфертов муниципальным образованиям на выполнение работ по изготовлению и установке бюстов</t>
  </si>
  <si>
    <t>2 18 05010 05 0000 150</t>
  </si>
  <si>
    <t>Возврат неиспользованных остатков субсидии бюджетам муниципальных образований на софинансирование мероприятий по строительству, реконструкции объектов дошкольного образования</t>
  </si>
  <si>
    <t>Возврат неиспользованных остатков иных межбюджетных трансфертов бюджетам муниципальных районов(городских округов) в Республике Бурятия по обеспечению твердым топливом отдельных категорий граждан</t>
  </si>
  <si>
    <t xml:space="preserve">Возврат неиспользованных остатков субсидии бюджетам муниципальных районов (городских округов) на содержание инструкторов по физической культуре и спорту </t>
  </si>
  <si>
    <t xml:space="preserve">Возврат неиспользованных остатков субвенции местным бюджетам на финансовое обеспечение получения дошкольного образования в муниципальных образовательных организациях </t>
  </si>
  <si>
    <t>Иные межбюджетные трансферты муниципальным образованиям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округа, за счет средств республиканского бюджета</t>
  </si>
  <si>
    <t>56 1 04 55050</t>
  </si>
  <si>
    <t>56 1 04 74330</t>
  </si>
  <si>
    <t>06 000 S21Д0</t>
  </si>
  <si>
    <t>Софинансирование из местного бюджета назвитие общественной инфраструктуры, капитальный ремонт, реконструкции, строительства объектов образования, физической культуры и спорта, культуры, дорожного хозяйственного жилищно-коммунального хозяйства</t>
  </si>
  <si>
    <t>Распределение иных межбюджетных трансфертов в рамках муниципальной программы «Комплексное развитие сельских территорий МО "Кяхтинского район» на 2023-2025 годы» софинансирование из местного бюджета бюджетам муниципальных образований на реализацию мероприятия по благоустройству сельских территорий Государственной программы Республики Бурятия "Комплексное развитие сельских территорий Республики Бурятия".</t>
  </si>
  <si>
    <t>отказ</t>
  </si>
  <si>
    <t>67 2 00 80900</t>
  </si>
  <si>
    <t xml:space="preserve">2 02 25467 05 0000 150 </t>
  </si>
  <si>
    <t>Субсидии на обеспечение развития укрепления материально-технической базы домов культуры в населенных пунктахс числом жителей до 50 тысяч человек</t>
  </si>
  <si>
    <t>Уплата иных платежей</t>
  </si>
  <si>
    <t>853</t>
  </si>
  <si>
    <t>Субсидия муниципальным образованиям на возмещение части затрат на уплату лизинговых платежей в связи с приобретением специализированных транспортных средств для содержания автомобильных дорог общего пользования местного значения за счет средств Дорожного фонда Республики Бурятия</t>
  </si>
  <si>
    <t>Субсидии бюджетам муниципальных районов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</si>
  <si>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2 02 25098 05 0000 150</t>
  </si>
  <si>
    <t>99 1 00 S2160</t>
  </si>
  <si>
    <t>66 3 00 S2160</t>
  </si>
  <si>
    <t>06 0 00 S23Д0</t>
  </si>
  <si>
    <t>07404 S2160</t>
  </si>
  <si>
    <t>512Е250980</t>
  </si>
  <si>
    <t>Иные межбюджетные трансферты бюджкетам сельских поселений на устройство минерализованных полос вокруг населенных пунктов Кяхтинского района</t>
  </si>
  <si>
    <t>Софинансирование из местного бюджета субсидии бюджетам муниципальных районов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</si>
  <si>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Субсидии бюджетам муниципальных образований на лучшее событийное тематическое мероприятие в сельской местности</t>
  </si>
  <si>
    <t>Бюджетам муниципальных образований на лучшее событийное тематическое мероприятие в сельской местности</t>
  </si>
  <si>
    <t>55 0 00 S2Е80</t>
  </si>
  <si>
    <t>67 1 02 80900</t>
  </si>
  <si>
    <t>Муниципальным образованиям на возмещение части затрат на уплату лизинговых платежей в связи с приобретением специализированных транспортных средств для содержания автомобильных дорог общего пользования местного значения за счет средств Дорожного фонда Республики Бурятия</t>
  </si>
  <si>
    <t>Софинансирование из местного бюджета муниципальным образованиям на возмещение части затрат на уплату лизинговых платежей в связи с приобретением специализированных транспортных средств для содержания автомобильных дорог общего пользования местного значения за счет средств Дорожного фонда Республики Бурятия</t>
  </si>
  <si>
    <t>934 1 17 05050 05 0000 180</t>
  </si>
  <si>
    <t>Возврат неиспользованных остатков  иных межбюджетных трансфертов  в рамках МП "Управление муниципальными финансами в МО "Кяхтинский район"поселениям , входящим в состав муниципального района</t>
  </si>
  <si>
    <t>Возврат неиспользованных остатков субсидии из республиканского бюджета бюджетам муниципальных районов и городских округов на обеспечение муниципальных дошкольных и общеобразовательных организаций педагогическими работниками</t>
  </si>
  <si>
    <t>Возврат неиспользованных остатков софинансирования из местного бюджета субсидии из республиканского бюджета бюджетам муниципальных районов и городских округов на обеспечение муниципальных дошкольных и общеобразовательных организаций педагогическими работниками</t>
  </si>
  <si>
    <t>Обеспечение выплаты денежной компенсации стоимости двухразового питания родителям (законным представителям) обучающихся с ограниченными возможностями здоровья, родителям (законным представителям) детей-инвалидов, имеющих статус обучающихся с ограниченными возможностями здоровья, обучение которых организовано муниципальными общеобразовательными организациями на дому</t>
  </si>
  <si>
    <t>06 000 743Д0</t>
  </si>
  <si>
    <t>Муниципальным образованиям на содержание автомобильных дорог общего пользования местного значения, в том числе обеспечение безопасности дорожного движения и аварийно-восстановительные работы</t>
  </si>
  <si>
    <t>Софинансирование из местного бюджета на 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</t>
  </si>
  <si>
    <t>07202S2Р40</t>
  </si>
  <si>
    <t>000 1 17 00000 00 0000 000</t>
  </si>
  <si>
    <t xml:space="preserve"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</t>
  </si>
  <si>
    <t>182 1 01 02130 01 0000 110</t>
  </si>
  <si>
    <t>Иные межбюджетные трансферты бюджетам муниципальных районов (городских округов) на финановое обеспечение социально значимых и первоочередных расходов местных бюджетов</t>
  </si>
  <si>
    <t>Субсидии бюджетам муниципальных образований на укрепление материально-технической базы в отрасли "Культура"</t>
  </si>
  <si>
    <t>2 02 25394 05 0000 150</t>
  </si>
  <si>
    <t>За достижение  показателей деятельности органов исполнительной власти Республики Бурятия</t>
  </si>
  <si>
    <t>87 7 00 55493</t>
  </si>
  <si>
    <t>Софинансирование из местного бюджета бюджетам муниципальных образований на лучшее событийное тематическое мероприятие в сельской местности</t>
  </si>
  <si>
    <t>Разработка ПСД на строительство Детской школы искусств г Кяхта Кяхтинского района</t>
  </si>
  <si>
    <t>Налоговые и неналоговые доходы бюджета МО "Кяхтинский район" на 2024год</t>
  </si>
  <si>
    <t>План на год 2024</t>
  </si>
  <si>
    <t>План 2026 год</t>
  </si>
  <si>
    <t>Объем безвозмездных поступлений в бюджет муниципального образования "Кяхтинский район" на 2024 год</t>
  </si>
  <si>
    <t>Дотация на выравнивание бюджетной обеспеченности муниципальных районов (городских округов) из республиканского бюджета</t>
  </si>
  <si>
    <t xml:space="preserve">Субсидии  на повышение средней заработной платы работников муниципальных учреждений культуры </t>
  </si>
  <si>
    <t xml:space="preserve">Субсидии  на обеспечение профессиональной переподготовки, повышение квалификации лиц, замещающих выборные муниципальные должности и муниципальных служащих </t>
  </si>
  <si>
    <t>Субсидии на дорожную деятельность в отношении автомобильных дорог общего пользования местного значения</t>
  </si>
  <si>
    <t>Субсидии на подготовку проектов межевания и проведения кадастровых работ в отношении земельных участков, выделяемых в счет земельных долей</t>
  </si>
  <si>
    <t>Субсидии  на обеспечение муниципальных дошкольных и общеобразовательных организаций педагогическими работниками</t>
  </si>
  <si>
    <t xml:space="preserve">Субсидии  бюджетам  на увеличение фондов оплаты труда педагогических работников муниципальных организаций дополнительного образования </t>
  </si>
  <si>
    <t>Субсидия на оплату труда обслуживающего персонала муниципальных общеобразовательных организаций, а также на оплату услуг сторонним организациям за выполнение работ(оказание услуг)</t>
  </si>
  <si>
    <t>Субсидия на модернизацию и строительство очистных сооружений для очистки загрязненных сточных вод, поступающих в озеро Байкал и другие водные объекты Байкальской природной территории, укрепление берегов озера Байкал, совершенствование и развитие объектов инфраструктуры, необходимых для сохранения уникальной экосистемы озера Байкал</t>
  </si>
  <si>
    <t xml:space="preserve">Субсидии на организацию бесплатного горячего питания обучающихся,получающих начальное общее образование в государственных и муниципальных образовательных организациях </t>
  </si>
  <si>
    <t>субсидии на реализацию мероприятий регионального проекта "Социальная активность"</t>
  </si>
  <si>
    <t>Субсидии на обеспечение выплаты денежной компенсации стоимости двухразового питания родителям (законным представителям) обучающихся с ограниченными возможностями здоровья, родителям (законным представителям) детей-инвалидов, имеющих статус обучающихся с ограниченными возможностями здоровья, обучение которых организовано муниципальными общеобразовательными организациями на дому</t>
  </si>
  <si>
    <t>Субвенция на осуществление   отдельных государственных полномочий на капитальный(текущий) ремонт и содержание сибиреязвенных захоронений и скотомогильников(биотермических ям)</t>
  </si>
  <si>
    <t>Субвенция на администрирование   отдельных государственных полномочий на капитальный(текущий) ремонт и содержание сибиреязвенных захоронений и скотомогильников(биотермических ям)</t>
  </si>
  <si>
    <t xml:space="preserve">Субвенции на обеспечение прав детей, находящихся в трудной  жизненной  ситуации, на отдых и оздоровление </t>
  </si>
  <si>
    <t xml:space="preserve">Субвенции на организацию деятельности по обеспечение прав детей, находящихся в трудной  жизненной  ситуации, на организацию деятельности </t>
  </si>
  <si>
    <t xml:space="preserve">Субвенцияна предоставление мер социальной поддержки по оплате коммунальных услуг специалистам муниципальных учреждений культуры,проживающим, работающим в сельских населенных пунктах, рабочих поселках (поселках городского типа) на территории Республики Бурятия </t>
  </si>
  <si>
    <t xml:space="preserve">Субвенция местным бюджетам на предоставление мер социальной поддержки по оплате коммунальных услуг  бывшим педагогическим работникам образовательных организаций, переведенным специалистам в организации, реализующие программы спортивной подготовки, специалистам организаций, реализующих программы спортивной подготовки, в соответствии с перечнем должностей, утвержденным органом государственной власти Республики Бурятия в области физической культуры и спорта,проживающим, работающим в сельских населенных пунктах, рабочих поселках (поселках городского типа) на территории Республики Бурятия </t>
  </si>
  <si>
    <t xml:space="preserve">Субсидии на приведение в нормативное состояние автомобильных дорог и искусственных дорожных сооружений в рамках реализации национального проекта «Безопасные качественные дороги»
</t>
  </si>
  <si>
    <t>Субсидии на обеспечение выплаты денежной компенсации стоимости двухразового питания родителям (законным представителям) обучающихся с ограниченными возможностями здоровья, родителям (Законным представителям) детей инвалидов, имеющих статус  обучающихся с ограниченными возможностями здоровья, обучение которых организовано муниципальными общеобразовательными организациями на дому</t>
  </si>
  <si>
    <t xml:space="preserve"> На осуществление   отдельных государственных полномочий на капитальный(текущий) ремонт и содержание сибиреязвенных захоронений и скотомогильников(биотермических ям)</t>
  </si>
  <si>
    <t>На администрирование   отдельных государственных полномочий на капитальный(текущий) ремонт и содержание сибиреязвенных захоронений и скотомогильников(биотермических ям)</t>
  </si>
  <si>
    <t>На модернизацию и строительство очистных сооружений для очистки загрязненных сточных вод, поступающих в озеро Байкал и другие водные объекты Байкальской природной территории, укрепление берегов озера Байкал, совершенствование и развитие объектов инфраструктуры, необходимых для сохранения уникальной экосистемы озера Байкал</t>
  </si>
  <si>
    <t>62 1 G7 50250</t>
  </si>
  <si>
    <t>Ежемесячное денежное вознаграждение воспитателей дошкольных образовательных организаций, реализующих gрограмму погружения в бурятскую языковую среду</t>
  </si>
  <si>
    <t>Муниципальная программа "Энергосбережение и повышение энергетической эффективности в муниципальном образовании "Кяхтинский район" на 2024-2026годы"</t>
  </si>
  <si>
    <t>На осуществление мероприятий по обеспечению деятельности по охране правопорядка и общественной безопасности</t>
  </si>
  <si>
    <t>Муниципальная программа "Совершенствование муниципального управления в муниципальном образовании  "Кяхтинский район"на 2024-2026 годы "</t>
  </si>
  <si>
    <t>Муниципальная программа "Энергосбережение и повышение энергетической эффективности в муниципальном образовании "Кяхтинский район" на 2024-2026 годы»</t>
  </si>
  <si>
    <t>Муниципальная программа " Молодежь Кяхтинского района" на 2024-2026 годы</t>
  </si>
  <si>
    <t xml:space="preserve">Подпрограмма «Оказание молодым семьям и молодым специалистам государственной поддержки для улучшения жилищных условий» на 2024- 2026 годы </t>
  </si>
  <si>
    <t xml:space="preserve">Подпрограмма "Мероприятия по молодежной политике"на 2024-2026 годы </t>
  </si>
  <si>
    <t xml:space="preserve">Муниципальная программа "Развитие отрасли "Культура" МО "Кяхтинский район" на 2024-2026 гг." </t>
  </si>
  <si>
    <t>Подпрограмма "Развитие территориального общественного самоуправления в МО "Кяхтинский район" на 2024-2026 годы"</t>
  </si>
  <si>
    <t>Подпрограмма "Профилактика преступлений и иных правонарушений в Кяхтинском районе Республики Бурятия на 2024-2026 г"</t>
  </si>
  <si>
    <t xml:space="preserve">Муниципальная программа "Безопасность жизнедеятельности в МО "Кяхтинский район" на 2024-2026годы" </t>
  </si>
  <si>
    <t>Муниципальная программа "Развитие физической культуры и спорта в МО "Кяхтинский район" на 2024-2026 годы "</t>
  </si>
  <si>
    <t>Муниципальная программа "Организация общественных и временных работ в МО " Кяхтинский район"  на 2024-2026гг"</t>
  </si>
  <si>
    <t>МП "Организация временной занятости несовершеннолетних граждан в возрасте от 14 до 18 лет в МО "Кяхтинский район" на 2023-2025 годы"</t>
  </si>
  <si>
    <t>МП "Профилактика терроризма и экстремизма на территории Кяхтинского района Республики Бурятия на 2024-2026 годы"</t>
  </si>
  <si>
    <t>Распределение бюджетных ассигнований на реализацию муниципальных программ муниципального образования "Кяхтинский район"на 2024 год</t>
  </si>
  <si>
    <t>Распределение бюджетных ассигнований на реализацию муниципальных программ муниципального образования "Кяхтинский район"на 2025-2026 года</t>
  </si>
  <si>
    <t>2025год</t>
  </si>
  <si>
    <t>2026 год</t>
  </si>
  <si>
    <t>Подпрограмма "Укрепление материально-технической базы и усиление комплексной безопасности образовательных учреждений на 2023-2025годы"</t>
  </si>
  <si>
    <t>Всего</t>
  </si>
  <si>
    <t>МП "Организация временной занятости несовершеннолетних граждан в возрасте от 14 до 18 лет в МО "Кяхтинский район" на 2024-2026 годы"</t>
  </si>
  <si>
    <t>Муниципальная программа ""Безопасность жизнедеятельности в МО "Кяхтинский район" на 2024-2026 годы "</t>
  </si>
  <si>
    <t>МП "Профилактика терроризма и экстремизма на территории Кяхтинского района Республики Бурятия на 2023-2026 годы"</t>
  </si>
  <si>
    <t>Муниципальная программа "Развитие отрасли "Культура" МО "Кяхтинский район" на 2024-2026 г.г."</t>
  </si>
  <si>
    <t>Муниципальная программа "Развитие отрасли "Культура" МО "Кяхтинский район" на 2024-2026 гг.</t>
  </si>
  <si>
    <t xml:space="preserve"> На осуществление мероприятий по обеспечению деятельности по охране правопорядка и общественной безопасности</t>
  </si>
  <si>
    <t>99 9 00  87000</t>
  </si>
  <si>
    <t>МП "Укрепление общественного здоровья населения в Кяхтинском районе Республики Бурятия на 2023-2025 годы"</t>
  </si>
  <si>
    <t xml:space="preserve">Подпрограмма «Оказание молодым семьям и молодым специалистам государственной поддержки для улучшения жилищных условий» на 2024 - 2026 годы </t>
  </si>
  <si>
    <t>На обеспечение выплаты денежной компенсации стоимости двухразового питания родителям (законным представителям) обучающихся с ограниченными возможностями здоровья,  родителям (законным представителям) детей инвалидов, имющих статус  обучающихся с ограниченными возможностями здоровья, обучение которых организовано муниципальными общеобразовательными организациями на дому</t>
  </si>
  <si>
    <t>Софинансирование из местного бюджета на обеспечение выплаты денежной компенсации стоимости двухразового питания родителям (законным представителям) обучающихся с ограниченными возможностями здоровья,  родителям (законным представителям) детей инвалидов, имющих статус  обучающихся с ограниченными возможностями здоровья, обучение которых организовано муниципальными общеобразовательными организациями на дому</t>
  </si>
  <si>
    <t>9990000000</t>
  </si>
  <si>
    <t>99 9 00 S2890</t>
  </si>
  <si>
    <t>99900 00000</t>
  </si>
  <si>
    <t>99900 83010</t>
  </si>
  <si>
    <t>99900 73020</t>
  </si>
  <si>
    <t>99900  74650</t>
  </si>
  <si>
    <t>99 9 00 83020</t>
  </si>
  <si>
    <t>99 9 00 73020</t>
  </si>
  <si>
    <t>99 9 00 73030</t>
  </si>
  <si>
    <t>99 9 00 73040</t>
  </si>
  <si>
    <t>99 9 00 S2К90</t>
  </si>
  <si>
    <t>99 9 00 S2В40</t>
  </si>
  <si>
    <t>99 9 00 S2Л40</t>
  </si>
  <si>
    <t>99 9 00 S2120</t>
  </si>
  <si>
    <t>99 9 00 83030</t>
  </si>
  <si>
    <t>99 9 00 83040</t>
  </si>
  <si>
    <t>99 9 00 73050</t>
  </si>
  <si>
    <t>99 9 00  73140</t>
  </si>
  <si>
    <t>99 9 00 73190</t>
  </si>
  <si>
    <t>99 9 00 91000</t>
  </si>
  <si>
    <t>99 9 00 73160</t>
  </si>
  <si>
    <t>99 9 00 73060</t>
  </si>
  <si>
    <t>99 9 00 95600</t>
  </si>
  <si>
    <t>99 9 00 95500</t>
  </si>
  <si>
    <t>99 9 00 S2140</t>
  </si>
  <si>
    <t>99 9 00 Д0100</t>
  </si>
  <si>
    <t>9900000000</t>
  </si>
  <si>
    <t>99 9 00 73090</t>
  </si>
  <si>
    <t>99 9 00 62020</t>
  </si>
  <si>
    <t xml:space="preserve">Иные межбюджетные трансферты поселениям </t>
  </si>
  <si>
    <t>Налоговые и неналоговые доходы бюджета МО "Кяхтинский район" на 2025-2026  годы</t>
  </si>
  <si>
    <t xml:space="preserve"> Освещение деятельности органов местного самоуправления муниципального образования "Кяхтинский район" </t>
  </si>
  <si>
    <t>820 1 16 01193 01 0000 140</t>
  </si>
  <si>
    <t>мат помощь</t>
  </si>
  <si>
    <t>Подпрограмма "Развитие муниципальной службы в МО "Кяхтинский район" на 2024-2026 годы"</t>
  </si>
  <si>
    <t>Создание условий для развития и совершенствования муниципальной службы.</t>
  </si>
  <si>
    <t>66 5 00 S2870</t>
  </si>
  <si>
    <t>Программа муниципальных внутренних заимствований  муниципального образования "Кяхтинский район" на 2024 год</t>
  </si>
  <si>
    <t>Ведомственная структура расходов бюджета муниципального образования "Кяхтинский район" на 2024 год</t>
  </si>
  <si>
    <t>Ведомственная структура расходов бюджета муниципального образования "Кяхтинский район" на 2025 и 2026 годы</t>
  </si>
  <si>
    <t>План на 2026 год (тыс.руб)</t>
  </si>
  <si>
    <t>Объем безвозмездных поступлений в бюджет муниципального образования "Кяхтинский район" на 2025-2026 год</t>
  </si>
  <si>
    <t>Распределение бюджетных ассигнований по разделам, подразделам, целевым статьям, группам и подгруппам видов расходов классификации расходов бюджетов на 2024 год</t>
  </si>
  <si>
    <t>Распределение бюджетных ассигнований по разделам, подразделам, целевым статьям, группам и подгруппам видов расходов классификации расходов бюджетов на 2025 и 2026 годы</t>
  </si>
  <si>
    <t xml:space="preserve">2026 год </t>
  </si>
  <si>
    <t>Источники финансирования дефицита бюджета муниципального образования "Кяхтинский район" на 2024 год</t>
  </si>
  <si>
    <t>2026г</t>
  </si>
  <si>
    <t>Источники финансирования дефицита бюджета муниципального образования "Кяхтинский район" на 2025 и 2026 годы</t>
  </si>
  <si>
    <t>Программа муниципальных гарантий муниципального образования "Кяхтинский район"на 2024год</t>
  </si>
  <si>
    <t>2. Общий объем бюджетных ассигнований, предусмотренных на исполнение муниципальных гарантий МО "Кяхтинский район" по возможным гарантийным случаям на 2024 год</t>
  </si>
  <si>
    <t>Объем бюджетных ассигнований на исполнение муниципальных гарантий МО "Кяхтинский район" по возможным гарантийным случаям в 2024 году.</t>
  </si>
  <si>
    <t>1. Перечень подлежащих предоставлению муницпальных гарантий муницирального образования "Кяхтинский район" на 2024 год.</t>
  </si>
  <si>
    <t xml:space="preserve">от                           2023 года № </t>
  </si>
  <si>
    <t>на 2024 год и плановый период 2025 и 2026 годов»</t>
  </si>
  <si>
    <t>от                            2023 года №</t>
  </si>
  <si>
    <t>Программа муниципальных гарантий муниципального образования "Кяхтинский район"на 2025-2026 годы</t>
  </si>
  <si>
    <t>1. Перечень подлежащих предоставлению муницпальных гарантий муницирального образования "Кяхтинский район" на 2025-2026 годы.</t>
  </si>
  <si>
    <t>2. Общий объем бюджетных ассигнований, предусмотренных на исполнение муниципальных гарантий МО "Кяхтинский район" по возможным гарантийным случаям на 2025-2026 годы</t>
  </si>
  <si>
    <t>Объем бюджетных ассигнований на исполнение муниципальных гарантий МО "Кяхтинский район" по возможным гарантийным случаям в 2025-2026 годы.</t>
  </si>
  <si>
    <t>99 9  00 Д0200</t>
  </si>
  <si>
    <t>99 9 00 S21ДО</t>
  </si>
  <si>
    <t>на 2024 год и на плановый период 2025 и 2026 годов»</t>
  </si>
  <si>
    <t xml:space="preserve">            от  декабря 2023 года №</t>
  </si>
  <si>
    <t>от   декабря 2023 года №</t>
  </si>
  <si>
    <t>от  декабря 2023 года №</t>
  </si>
  <si>
    <t>от    декабря 2023 года №</t>
  </si>
  <si>
    <t>на 2024 год и плановый период 2025 и 2026 годов »</t>
  </si>
  <si>
    <t xml:space="preserve">от декабря 2023 года № </t>
  </si>
  <si>
    <t>на 2024 год и плановый период 2025-2026 годов »</t>
  </si>
  <si>
    <t>от     декабря 2023 года №</t>
  </si>
  <si>
    <t>на 2024 год и плановый период 2025 и 2026 годов</t>
  </si>
  <si>
    <t>от        2023 года №</t>
  </si>
  <si>
    <t>от  2023 года №</t>
  </si>
  <si>
    <t xml:space="preserve">от 2023 года № </t>
  </si>
  <si>
    <t>на 2024 год и плановый период 2025 и 2026годов»</t>
  </si>
  <si>
    <t xml:space="preserve">от  2023 года № </t>
  </si>
  <si>
    <t xml:space="preserve">от                    2023 года № </t>
  </si>
  <si>
    <t xml:space="preserve">от                             2023 года № </t>
  </si>
  <si>
    <t xml:space="preserve">от                   2023 года №  </t>
  </si>
  <si>
    <t>Распределения иных межбюджетных трансфертов бюджетам поселений, входящих в состав муниципального района  на  2025-2026 годы</t>
  </si>
  <si>
    <t xml:space="preserve">от                          2023 года № </t>
  </si>
  <si>
    <t xml:space="preserve">Распределение дотаций на выравнивание бюджетной обеспеченности поселений из бюджета муниципального района на 2024 год   </t>
  </si>
  <si>
    <t xml:space="preserve">Распределение дотаций на выравнивание бюджетной обеспеченности поселений из бюджета муниципального района на 2025-2026 годы </t>
  </si>
  <si>
    <t>2.Распределения иных межбюджетных трансфертов бюджетам поселений, входящих в состав муниципального района  на  2024 год</t>
  </si>
  <si>
    <t xml:space="preserve">Распределение иных межбюджетных трансфертов на первоочередные расходы сельских и городских поселений на 2024 год </t>
  </si>
  <si>
    <t>Распределение иных межбюджетных трансфертов в рамках муниципальной программы « Организация общественных и временных работ в МО " Кяхтинский район"  на 2024-2026гг"</t>
  </si>
  <si>
    <t>СП Чикойское</t>
  </si>
  <si>
    <t>2025 г                              сумма</t>
  </si>
  <si>
    <t xml:space="preserve">Распределения иных межбюджетных трансфертов на первоочередные расходы сельских и городских поселений                               на 2025-2026 годы  </t>
  </si>
  <si>
    <t>2026 г.</t>
  </si>
  <si>
    <t>2025 г                                                        сумма</t>
  </si>
  <si>
    <t>Программа муниципальных внутренних заимствований  муниципального образования "Кяхтинский район" на 2025 и 2026 годы.</t>
  </si>
  <si>
    <t>Приложение 19</t>
  </si>
  <si>
    <t>Приложение 20</t>
  </si>
  <si>
    <t>Приложение 21</t>
  </si>
  <si>
    <t>Субсидии на государственную поддержку отрасли культуры в части комплектования книжных фондов библиотек муниципальных образований</t>
  </si>
  <si>
    <t>ФБ219,6 РБ 14</t>
  </si>
  <si>
    <t>Субсидии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</si>
  <si>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ФБ 752727 РБ15361,8</t>
  </si>
  <si>
    <t xml:space="preserve">Субсидии на проведение комплексных кадастровых работ </t>
  </si>
  <si>
    <t>ФБ 16000 РБ 326,5</t>
  </si>
  <si>
    <t>Субсидии на государственную поддержку отрасли культуры</t>
  </si>
  <si>
    <t>ФБ 4061 РБ 82,9</t>
  </si>
  <si>
    <t>Иные межбюджетные трансферты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</si>
  <si>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Субсидии на реализацию мероприятий регионального проекта "Социальная активность"</t>
  </si>
  <si>
    <t>ФБ 653,8 РБ 49,2     ФБ 646,9 РБ 41,3</t>
  </si>
  <si>
    <t>Субсидии  на софинансирование расходных обязательств муниципальных районов (городских округов) на содержание и обеспечение деятельности (оказание услуг) муниципальных учреждений</t>
  </si>
  <si>
    <t xml:space="preserve">Субсидии  на увеличение фондов оплаты труда педагогических работников муниципальных учреждений дополнительного образования </t>
  </si>
  <si>
    <t>Субсидия  на обеспечение профессиональной переподготовки, повышение квалификации глав муниципальных образований и муниципальных служащих</t>
  </si>
  <si>
    <t>Субсидии на оплату труда обслуживающего персонала муниципальных общеобразовательных организаций, а также на оплату услуг сторонним организациям за выполнение работ(оказание услуг).</t>
  </si>
  <si>
    <t>На государственную поддержку отрасли культуры в части комплектования книжных фондов библиотек муниципальных образований</t>
  </si>
  <si>
    <t>На государственную поддержку отрасли культуры</t>
  </si>
  <si>
    <t>Бюджетам муниципальных районов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</si>
  <si>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99 9 00 L5110</t>
  </si>
  <si>
    <t>99 9 00 S2160</t>
  </si>
  <si>
    <t>11 0 00 S2160</t>
  </si>
  <si>
    <t>99 9 00S2160</t>
  </si>
  <si>
    <t>Другие вопросы в области здравоохранения</t>
  </si>
  <si>
    <t>Здравоохранение</t>
  </si>
  <si>
    <t>Муниципальная программа "Профилактика туберкулеза в Кяхтинском муниципальном районе на 2024-2026 годы"</t>
  </si>
  <si>
    <t>Основное мероприятие «Стабилизация эпидемиологической ситуации, связанной с распространением туберкулеза в Кяхтинском муниципальном районе».</t>
  </si>
  <si>
    <t>31 0 00 00000</t>
  </si>
  <si>
    <t>31 005 84700</t>
  </si>
  <si>
    <t>ЗДРАВООХРАНЕНИЕ</t>
  </si>
  <si>
    <t>12 0 00 Д5110</t>
  </si>
  <si>
    <t>80 0 00 R5760</t>
  </si>
  <si>
    <t>На создание центров цифрового образования детей</t>
  </si>
  <si>
    <t>517E4 52190</t>
  </si>
  <si>
    <t>Софинансирование из местного бюджета на создание центров цифрового образования детей</t>
  </si>
  <si>
    <t>Софинансирование из местного бюджета бюджетам муниципальных районов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</si>
  <si>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ФБ 9794,7 РБ 625,2</t>
  </si>
  <si>
    <t>99 9 00 84700</t>
  </si>
  <si>
    <t>Стабилизация эпидемиологической ситуации, связанной с распространением туберкулеза в Кяхтинском муниципальном районе.</t>
  </si>
</sst>
</file>

<file path=xl/styles.xml><?xml version="1.0" encoding="utf-8"?>
<styleSheet xmlns="http://schemas.openxmlformats.org/spreadsheetml/2006/main">
  <numFmts count="11">
    <numFmt numFmtId="164" formatCode="_-* #,##0.00_р_._-;\-* #,##0.00_р_._-;_-* &quot;-&quot;??_р_._-;_-@_-"/>
    <numFmt numFmtId="165" formatCode="0.0"/>
    <numFmt numFmtId="166" formatCode="#,##0.00000"/>
    <numFmt numFmtId="167" formatCode="#,##0.0"/>
    <numFmt numFmtId="168" formatCode="#,##0.0_ ;\-#,##0.0\ "/>
    <numFmt numFmtId="169" formatCode="0.00000"/>
    <numFmt numFmtId="170" formatCode="0.000000"/>
    <numFmt numFmtId="171" formatCode="0.000"/>
    <numFmt numFmtId="172" formatCode="0.0%"/>
    <numFmt numFmtId="173" formatCode="#,##0.000_ ;\-#,##0.000\ "/>
    <numFmt numFmtId="174" formatCode="#,##0.000"/>
  </numFmts>
  <fonts count="66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u/>
      <sz val="10"/>
      <color indexed="12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sz val="10"/>
      <name val="Times New Roman"/>
      <family val="1"/>
    </font>
    <font>
      <b/>
      <sz val="10"/>
      <name val="Times New Roman Cyr"/>
      <charset val="204"/>
    </font>
    <font>
      <sz val="8"/>
      <name val="Times New Roman"/>
      <family val="1"/>
      <charset val="204"/>
    </font>
    <font>
      <sz val="8"/>
      <name val="Arial"/>
      <family val="2"/>
    </font>
    <font>
      <sz val="12"/>
      <name val="Arial Cyr"/>
      <charset val="204"/>
    </font>
    <font>
      <b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8"/>
      <name val="Arial"/>
      <family val="2"/>
    </font>
    <font>
      <b/>
      <i/>
      <sz val="12"/>
      <color indexed="10"/>
      <name val="Times New Roman"/>
      <family val="1"/>
      <charset val="204"/>
    </font>
    <font>
      <sz val="9"/>
      <name val="Arial"/>
      <family val="2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sz val="9"/>
      <name val="Arial Cyr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i/>
      <sz val="10"/>
      <color indexed="8"/>
      <name val="Times New Roman"/>
      <family val="1"/>
      <charset val="204"/>
    </font>
    <font>
      <i/>
      <sz val="9"/>
      <name val="Arial"/>
      <family val="2"/>
      <charset val="204"/>
    </font>
    <font>
      <b/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rgb="FF0A0A0A"/>
      <name val="Times New Roman"/>
      <family val="1"/>
      <charset val="204"/>
    </font>
    <font>
      <sz val="11"/>
      <color rgb="FF0A0A0A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rgb="FF0A0A0A"/>
      <name val="Times New Roman"/>
      <family val="1"/>
      <charset val="204"/>
    </font>
    <font>
      <sz val="12"/>
      <color rgb="FF0A0A0A"/>
      <name val="Times New Roman"/>
      <family val="1"/>
      <charset val="204"/>
    </font>
    <font>
      <sz val="8"/>
      <name val="Arial"/>
      <family val="2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8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25" fillId="0" borderId="0"/>
    <xf numFmtId="0" fontId="25" fillId="0" borderId="0"/>
    <xf numFmtId="0" fontId="14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9" fillId="0" borderId="0"/>
    <xf numFmtId="0" fontId="4" fillId="0" borderId="0"/>
    <xf numFmtId="0" fontId="3" fillId="0" borderId="0"/>
    <xf numFmtId="0" fontId="5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1" fillId="0" borderId="0"/>
  </cellStyleXfs>
  <cellXfs count="897">
    <xf numFmtId="0" fontId="0" fillId="0" borderId="0" xfId="0"/>
    <xf numFmtId="0" fontId="8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right"/>
    </xf>
    <xf numFmtId="0" fontId="8" fillId="0" borderId="0" xfId="0" applyFont="1" applyFill="1"/>
    <xf numFmtId="0" fontId="9" fillId="0" borderId="0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0" xfId="0" applyFont="1" applyBorder="1"/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65" fontId="8" fillId="0" borderId="0" xfId="0" applyNumberFormat="1" applyFont="1" applyAlignment="1">
      <alignment horizontal="right"/>
    </xf>
    <xf numFmtId="0" fontId="8" fillId="0" borderId="1" xfId="0" applyFont="1" applyBorder="1" applyAlignment="1">
      <alignment vertical="top" wrapText="1"/>
    </xf>
    <xf numFmtId="165" fontId="9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/>
    <xf numFmtId="0" fontId="8" fillId="0" borderId="2" xfId="0" applyFont="1" applyBorder="1" applyAlignment="1"/>
    <xf numFmtId="0" fontId="9" fillId="0" borderId="2" xfId="0" applyFont="1" applyBorder="1" applyAlignment="1"/>
    <xf numFmtId="0" fontId="8" fillId="0" borderId="0" xfId="0" applyFont="1" applyFill="1" applyAlignment="1">
      <alignment horizontal="right"/>
    </xf>
    <xf numFmtId="0" fontId="9" fillId="0" borderId="0" xfId="0" applyFont="1" applyAlignment="1">
      <alignment horizontal="center" vertical="top" wrapText="1"/>
    </xf>
    <xf numFmtId="168" fontId="8" fillId="0" borderId="1" xfId="0" applyNumberFormat="1" applyFont="1" applyBorder="1" applyAlignment="1"/>
    <xf numFmtId="165" fontId="9" fillId="0" borderId="0" xfId="0" applyNumberFormat="1" applyFont="1" applyBorder="1" applyAlignment="1">
      <alignment vertical="center" wrapText="1"/>
    </xf>
    <xf numFmtId="165" fontId="9" fillId="0" borderId="0" xfId="0" applyNumberFormat="1" applyFont="1" applyBorder="1" applyAlignment="1">
      <alignment horizontal="center" vertical="center" wrapText="1"/>
    </xf>
    <xf numFmtId="165" fontId="8" fillId="0" borderId="0" xfId="0" applyNumberFormat="1" applyFont="1" applyAlignment="1">
      <alignment horizontal="right" vertical="center" wrapText="1"/>
    </xf>
    <xf numFmtId="0" fontId="21" fillId="0" borderId="0" xfId="0" applyFont="1" applyAlignment="1"/>
    <xf numFmtId="0" fontId="8" fillId="0" borderId="0" xfId="0" applyFont="1" applyAlignment="1">
      <alignment horizontal="right" vertical="center" wrapText="1"/>
    </xf>
    <xf numFmtId="0" fontId="9" fillId="0" borderId="3" xfId="0" applyFont="1" applyBorder="1" applyAlignment="1">
      <alignment horizontal="center" vertical="center" wrapText="1"/>
    </xf>
    <xf numFmtId="0" fontId="22" fillId="0" borderId="1" xfId="0" applyFont="1" applyFill="1" applyBorder="1" applyAlignment="1">
      <alignment vertical="center" wrapText="1"/>
    </xf>
    <xf numFmtId="165" fontId="9" fillId="0" borderId="1" xfId="0" applyNumberFormat="1" applyFont="1" applyBorder="1" applyAlignment="1">
      <alignment horizontal="center"/>
    </xf>
    <xf numFmtId="165" fontId="8" fillId="0" borderId="0" xfId="0" applyNumberFormat="1" applyFont="1"/>
    <xf numFmtId="165" fontId="9" fillId="0" borderId="0" xfId="0" applyNumberFormat="1" applyFont="1" applyBorder="1" applyAlignment="1">
      <alignment horizontal="center"/>
    </xf>
    <xf numFmtId="0" fontId="8" fillId="2" borderId="0" xfId="0" applyFont="1" applyFill="1"/>
    <xf numFmtId="0" fontId="18" fillId="2" borderId="1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0" fillId="2" borderId="0" xfId="0" applyFont="1" applyFill="1"/>
    <xf numFmtId="0" fontId="17" fillId="2" borderId="0" xfId="0" applyFont="1" applyFill="1"/>
    <xf numFmtId="0" fontId="10" fillId="2" borderId="0" xfId="0" applyFont="1" applyFill="1" applyAlignment="1">
      <alignment wrapText="1"/>
    </xf>
    <xf numFmtId="0" fontId="11" fillId="2" borderId="1" xfId="0" applyFont="1" applyFill="1" applyBorder="1" applyAlignment="1">
      <alignment wrapText="1"/>
    </xf>
    <xf numFmtId="0" fontId="30" fillId="2" borderId="1" xfId="0" applyFont="1" applyFill="1" applyBorder="1" applyAlignment="1">
      <alignment horizontal="left" vertical="center" wrapText="1"/>
    </xf>
    <xf numFmtId="0" fontId="18" fillId="2" borderId="0" xfId="0" applyFont="1" applyFill="1"/>
    <xf numFmtId="0" fontId="10" fillId="2" borderId="1" xfId="0" applyFont="1" applyFill="1" applyBorder="1" applyAlignment="1">
      <alignment horizontal="left" vertical="center" wrapText="1"/>
    </xf>
    <xf numFmtId="0" fontId="29" fillId="2" borderId="1" xfId="0" applyFont="1" applyFill="1" applyBorder="1" applyAlignment="1">
      <alignment horizontal="left" vertical="center" wrapText="1"/>
    </xf>
    <xf numFmtId="0" fontId="9" fillId="2" borderId="0" xfId="0" applyFont="1" applyFill="1"/>
    <xf numFmtId="0" fontId="28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165" fontId="10" fillId="2" borderId="0" xfId="0" applyNumberFormat="1" applyFont="1" applyFill="1"/>
    <xf numFmtId="167" fontId="10" fillId="2" borderId="0" xfId="0" applyNumberFormat="1" applyFont="1" applyFill="1"/>
    <xf numFmtId="4" fontId="10" fillId="2" borderId="0" xfId="0" applyNumberFormat="1" applyFont="1" applyFill="1"/>
    <xf numFmtId="0" fontId="10" fillId="2" borderId="0" xfId="0" applyFont="1" applyFill="1" applyAlignment="1">
      <alignment horizontal="center"/>
    </xf>
    <xf numFmtId="166" fontId="10" fillId="2" borderId="0" xfId="0" applyNumberFormat="1" applyFont="1" applyFill="1"/>
    <xf numFmtId="4" fontId="11" fillId="2" borderId="0" xfId="0" applyNumberFormat="1" applyFont="1" applyFill="1"/>
    <xf numFmtId="4" fontId="11" fillId="2" borderId="0" xfId="0" applyNumberFormat="1" applyFont="1" applyFill="1" applyAlignment="1">
      <alignment horizontal="center"/>
    </xf>
    <xf numFmtId="166" fontId="10" fillId="2" borderId="0" xfId="0" applyNumberFormat="1" applyFont="1" applyFill="1" applyAlignment="1">
      <alignment horizontal="right"/>
    </xf>
    <xf numFmtId="166" fontId="27" fillId="2" borderId="1" xfId="0" applyNumberFormat="1" applyFont="1" applyFill="1" applyBorder="1" applyAlignment="1">
      <alignment horizontal="center" vertical="center" wrapText="1"/>
    </xf>
    <xf numFmtId="0" fontId="11" fillId="2" borderId="0" xfId="0" applyFont="1" applyFill="1"/>
    <xf numFmtId="0" fontId="29" fillId="2" borderId="0" xfId="0" applyFont="1" applyFill="1"/>
    <xf numFmtId="0" fontId="28" fillId="2" borderId="0" xfId="0" applyFont="1" applyFill="1"/>
    <xf numFmtId="0" fontId="11" fillId="2" borderId="1" xfId="0" applyFont="1" applyFill="1" applyBorder="1" applyAlignment="1">
      <alignment horizontal="center" vertical="center" wrapText="1"/>
    </xf>
    <xf numFmtId="0" fontId="0" fillId="0" borderId="0" xfId="0" applyFont="1"/>
    <xf numFmtId="49" fontId="29" fillId="2" borderId="1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49" fontId="11" fillId="3" borderId="1" xfId="0" applyNumberFormat="1" applyFont="1" applyFill="1" applyBorder="1" applyAlignment="1">
      <alignment horizontal="center" vertical="center"/>
    </xf>
    <xf numFmtId="166" fontId="11" fillId="3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/>
    </xf>
    <xf numFmtId="166" fontId="11" fillId="2" borderId="1" xfId="0" applyNumberFormat="1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/>
    </xf>
    <xf numFmtId="49" fontId="28" fillId="2" borderId="1" xfId="0" applyNumberFormat="1" applyFont="1" applyFill="1" applyBorder="1" applyAlignment="1">
      <alignment horizontal="center" vertical="center"/>
    </xf>
    <xf numFmtId="166" fontId="28" fillId="2" borderId="1" xfId="0" applyNumberFormat="1" applyFont="1" applyFill="1" applyBorder="1" applyAlignment="1">
      <alignment horizontal="center" vertical="center"/>
    </xf>
    <xf numFmtId="166" fontId="29" fillId="2" borderId="1" xfId="0" applyNumberFormat="1" applyFont="1" applyFill="1" applyBorder="1" applyAlignment="1">
      <alignment horizontal="center" vertical="center"/>
    </xf>
    <xf numFmtId="166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166" fontId="10" fillId="2" borderId="7" xfId="0" applyNumberFormat="1" applyFont="1" applyFill="1" applyBorder="1" applyAlignment="1">
      <alignment horizontal="center" vertical="center"/>
    </xf>
    <xf numFmtId="49" fontId="31" fillId="2" borderId="1" xfId="0" applyNumberFormat="1" applyFont="1" applyFill="1" applyBorder="1" applyAlignment="1">
      <alignment horizontal="center" vertical="center"/>
    </xf>
    <xf numFmtId="49" fontId="34" fillId="2" borderId="1" xfId="0" applyNumberFormat="1" applyFont="1" applyFill="1" applyBorder="1" applyAlignment="1">
      <alignment horizontal="center" vertical="center"/>
    </xf>
    <xf numFmtId="49" fontId="29" fillId="2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2" borderId="0" xfId="0" applyNumberFormat="1" applyFont="1" applyFill="1"/>
    <xf numFmtId="49" fontId="11" fillId="2" borderId="0" xfId="0" applyNumberFormat="1" applyFont="1" applyFill="1"/>
    <xf numFmtId="49" fontId="8" fillId="2" borderId="1" xfId="0" applyNumberFormat="1" applyFont="1" applyFill="1" applyBorder="1" applyAlignment="1">
      <alignment horizontal="center" vertical="center"/>
    </xf>
    <xf numFmtId="166" fontId="29" fillId="0" borderId="1" xfId="0" applyNumberFormat="1" applyFont="1" applyFill="1" applyBorder="1" applyAlignment="1">
      <alignment horizontal="center" vertical="center"/>
    </xf>
    <xf numFmtId="166" fontId="11" fillId="0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left" vertical="center" wrapText="1"/>
    </xf>
    <xf numFmtId="0" fontId="32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/>
    </xf>
    <xf numFmtId="49" fontId="17" fillId="3" borderId="1" xfId="0" applyNumberFormat="1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6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/>
    </xf>
    <xf numFmtId="49" fontId="18" fillId="2" borderId="1" xfId="0" applyNumberFormat="1" applyFont="1" applyFill="1" applyBorder="1" applyAlignment="1">
      <alignment horizontal="center" vertical="center"/>
    </xf>
    <xf numFmtId="166" fontId="9" fillId="3" borderId="1" xfId="0" applyNumberFormat="1" applyFont="1" applyFill="1" applyBorder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 vertical="center"/>
    </xf>
    <xf numFmtId="166" fontId="8" fillId="0" borderId="1" xfId="0" applyNumberFormat="1" applyFont="1" applyBorder="1" applyAlignment="1">
      <alignment horizontal="center" vertical="center"/>
    </xf>
    <xf numFmtId="0" fontId="10" fillId="2" borderId="1" xfId="0" applyFont="1" applyFill="1" applyBorder="1" applyAlignment="1">
      <alignment wrapText="1"/>
    </xf>
    <xf numFmtId="166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30" fillId="0" borderId="1" xfId="0" applyFont="1" applyFill="1" applyBorder="1" applyAlignment="1">
      <alignment horizontal="left" vertical="center" wrapText="1"/>
    </xf>
    <xf numFmtId="0" fontId="32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0" xfId="0" applyFont="1" applyFill="1"/>
    <xf numFmtId="0" fontId="8" fillId="0" borderId="0" xfId="0" applyFont="1" applyAlignment="1"/>
    <xf numFmtId="0" fontId="29" fillId="4" borderId="0" xfId="0" applyFont="1" applyFill="1"/>
    <xf numFmtId="0" fontId="29" fillId="0" borderId="1" xfId="0" applyFont="1" applyFill="1" applyBorder="1" applyAlignment="1">
      <alignment horizontal="left" vertical="center" wrapText="1"/>
    </xf>
    <xf numFmtId="49" fontId="29" fillId="0" borderId="1" xfId="0" applyNumberFormat="1" applyFont="1" applyFill="1" applyBorder="1" applyAlignment="1">
      <alignment horizontal="center" vertical="center"/>
    </xf>
    <xf numFmtId="0" fontId="29" fillId="0" borderId="0" xfId="0" applyFont="1" applyFill="1"/>
    <xf numFmtId="0" fontId="28" fillId="0" borderId="0" xfId="0" applyFont="1" applyFill="1"/>
    <xf numFmtId="0" fontId="27" fillId="2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horizontal="left" wrapText="1"/>
    </xf>
    <xf numFmtId="0" fontId="11" fillId="2" borderId="1" xfId="0" applyFont="1" applyFill="1" applyBorder="1" applyAlignment="1">
      <alignment horizontal="left" wrapText="1"/>
    </xf>
    <xf numFmtId="0" fontId="0" fillId="0" borderId="0" xfId="0" applyFont="1" applyAlignment="1">
      <alignment horizontal="center"/>
    </xf>
    <xf numFmtId="49" fontId="8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0" fillId="0" borderId="1" xfId="4" applyNumberFormat="1" applyFont="1" applyBorder="1" applyAlignment="1">
      <alignment wrapText="1"/>
    </xf>
    <xf numFmtId="0" fontId="29" fillId="6" borderId="1" xfId="0" applyFont="1" applyFill="1" applyBorder="1" applyAlignment="1">
      <alignment horizontal="left" vertical="center" wrapText="1"/>
    </xf>
    <xf numFmtId="0" fontId="29" fillId="6" borderId="1" xfId="0" applyFont="1" applyFill="1" applyBorder="1" applyAlignment="1">
      <alignment horizontal="center" vertical="center"/>
    </xf>
    <xf numFmtId="49" fontId="29" fillId="6" borderId="1" xfId="0" applyNumberFormat="1" applyFont="1" applyFill="1" applyBorder="1" applyAlignment="1">
      <alignment horizontal="center" vertical="center"/>
    </xf>
    <xf numFmtId="0" fontId="29" fillId="6" borderId="1" xfId="0" applyFont="1" applyFill="1" applyBorder="1" applyAlignment="1">
      <alignment horizontal="center" vertical="center" wrapText="1"/>
    </xf>
    <xf numFmtId="166" fontId="29" fillId="6" borderId="1" xfId="0" applyNumberFormat="1" applyFont="1" applyFill="1" applyBorder="1" applyAlignment="1">
      <alignment horizontal="center" vertical="center"/>
    </xf>
    <xf numFmtId="0" fontId="29" fillId="7" borderId="1" xfId="0" applyFont="1" applyFill="1" applyBorder="1" applyAlignment="1">
      <alignment horizontal="left" vertical="center" wrapText="1"/>
    </xf>
    <xf numFmtId="0" fontId="29" fillId="7" borderId="1" xfId="0" applyFont="1" applyFill="1" applyBorder="1" applyAlignment="1">
      <alignment horizontal="center" vertical="center"/>
    </xf>
    <xf numFmtId="49" fontId="29" fillId="7" borderId="1" xfId="0" applyNumberFormat="1" applyFont="1" applyFill="1" applyBorder="1" applyAlignment="1">
      <alignment horizontal="center" vertical="center"/>
    </xf>
    <xf numFmtId="166" fontId="29" fillId="7" borderId="1" xfId="0" applyNumberFormat="1" applyFont="1" applyFill="1" applyBorder="1" applyAlignment="1">
      <alignment horizontal="center" vertical="center"/>
    </xf>
    <xf numFmtId="0" fontId="28" fillId="6" borderId="1" xfId="0" applyFont="1" applyFill="1" applyBorder="1" applyAlignment="1">
      <alignment horizontal="center" vertical="center"/>
    </xf>
    <xf numFmtId="49" fontId="28" fillId="6" borderId="1" xfId="0" applyNumberFormat="1" applyFont="1" applyFill="1" applyBorder="1" applyAlignment="1">
      <alignment horizontal="center" vertical="center"/>
    </xf>
    <xf numFmtId="49" fontId="10" fillId="6" borderId="1" xfId="0" applyNumberFormat="1" applyFont="1" applyFill="1" applyBorder="1" applyAlignment="1">
      <alignment horizontal="center" vertical="center"/>
    </xf>
    <xf numFmtId="166" fontId="28" fillId="6" borderId="1" xfId="0" applyNumberFormat="1" applyFont="1" applyFill="1" applyBorder="1" applyAlignment="1">
      <alignment horizontal="center" vertical="center"/>
    </xf>
    <xf numFmtId="49" fontId="10" fillId="7" borderId="1" xfId="0" applyNumberFormat="1" applyFont="1" applyFill="1" applyBorder="1" applyAlignment="1">
      <alignment horizontal="center" vertical="center"/>
    </xf>
    <xf numFmtId="0" fontId="30" fillId="6" borderId="1" xfId="0" applyFont="1" applyFill="1" applyBorder="1" applyAlignment="1">
      <alignment horizontal="left" vertical="center" wrapText="1"/>
    </xf>
    <xf numFmtId="0" fontId="10" fillId="7" borderId="1" xfId="0" applyFont="1" applyFill="1" applyBorder="1" applyAlignment="1">
      <alignment horizontal="left" vertical="center" wrapText="1"/>
    </xf>
    <xf numFmtId="0" fontId="10" fillId="7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left" vertical="center" wrapText="1"/>
    </xf>
    <xf numFmtId="166" fontId="10" fillId="6" borderId="1" xfId="0" applyNumberFormat="1" applyFont="1" applyFill="1" applyBorder="1" applyAlignment="1">
      <alignment horizontal="center" vertical="center"/>
    </xf>
    <xf numFmtId="166" fontId="10" fillId="7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wrapText="1"/>
    </xf>
    <xf numFmtId="169" fontId="17" fillId="2" borderId="0" xfId="0" applyNumberFormat="1" applyFont="1" applyFill="1"/>
    <xf numFmtId="169" fontId="8" fillId="2" borderId="0" xfId="0" applyNumberFormat="1" applyFont="1" applyFill="1"/>
    <xf numFmtId="166" fontId="10" fillId="8" borderId="1" xfId="0" applyNumberFormat="1" applyFont="1" applyFill="1" applyBorder="1" applyAlignment="1">
      <alignment horizontal="center" vertical="center"/>
    </xf>
    <xf numFmtId="49" fontId="29" fillId="8" borderId="1" xfId="0" applyNumberFormat="1" applyFont="1" applyFill="1" applyBorder="1" applyAlignment="1">
      <alignment horizontal="center" vertical="center"/>
    </xf>
    <xf numFmtId="166" fontId="29" fillId="8" borderId="1" xfId="0" applyNumberFormat="1" applyFont="1" applyFill="1" applyBorder="1" applyAlignment="1">
      <alignment horizontal="center" vertical="center"/>
    </xf>
    <xf numFmtId="0" fontId="29" fillId="8" borderId="0" xfId="0" applyFont="1" applyFill="1"/>
    <xf numFmtId="0" fontId="33" fillId="8" borderId="0" xfId="3" applyNumberFormat="1" applyFont="1" applyFill="1" applyBorder="1" applyAlignment="1">
      <alignment horizontal="left" wrapText="1"/>
    </xf>
    <xf numFmtId="49" fontId="10" fillId="8" borderId="1" xfId="0" applyNumberFormat="1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left" vertical="center" wrapText="1"/>
    </xf>
    <xf numFmtId="0" fontId="10" fillId="8" borderId="0" xfId="0" applyFont="1" applyFill="1"/>
    <xf numFmtId="0" fontId="32" fillId="8" borderId="1" xfId="0" applyFont="1" applyFill="1" applyBorder="1" applyAlignment="1">
      <alignment horizontal="left" vertical="center" wrapText="1"/>
    </xf>
    <xf numFmtId="0" fontId="9" fillId="8" borderId="1" xfId="0" applyFont="1" applyFill="1" applyBorder="1" applyAlignment="1">
      <alignment horizontal="left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vertical="center"/>
    </xf>
    <xf numFmtId="0" fontId="0" fillId="8" borderId="0" xfId="0" applyFill="1"/>
    <xf numFmtId="166" fontId="0" fillId="0" borderId="0" xfId="0" applyNumberFormat="1" applyFill="1"/>
    <xf numFmtId="165" fontId="0" fillId="0" borderId="0" xfId="0" applyNumberFormat="1" applyFill="1"/>
    <xf numFmtId="0" fontId="8" fillId="0" borderId="0" xfId="0" applyFont="1" applyBorder="1" applyAlignment="1"/>
    <xf numFmtId="0" fontId="19" fillId="2" borderId="1" xfId="0" applyFont="1" applyFill="1" applyBorder="1" applyAlignment="1">
      <alignment horizontal="left" vertical="center" wrapText="1"/>
    </xf>
    <xf numFmtId="0" fontId="28" fillId="8" borderId="0" xfId="0" applyFont="1" applyFill="1"/>
    <xf numFmtId="0" fontId="29" fillId="8" borderId="1" xfId="0" applyFont="1" applyFill="1" applyBorder="1" applyAlignment="1">
      <alignment horizontal="left" vertical="center" wrapText="1"/>
    </xf>
    <xf numFmtId="166" fontId="28" fillId="8" borderId="1" xfId="0" applyNumberFormat="1" applyFont="1" applyFill="1" applyBorder="1" applyAlignment="1">
      <alignment horizontal="center" vertical="center"/>
    </xf>
    <xf numFmtId="0" fontId="35" fillId="0" borderId="1" xfId="4" applyNumberFormat="1" applyFont="1" applyBorder="1" applyAlignment="1">
      <alignment wrapText="1"/>
    </xf>
    <xf numFmtId="166" fontId="8" fillId="0" borderId="1" xfId="0" applyNumberFormat="1" applyFont="1" applyBorder="1" applyAlignment="1">
      <alignment horizontal="center" vertical="center" wrapText="1"/>
    </xf>
    <xf numFmtId="166" fontId="9" fillId="0" borderId="1" xfId="0" applyNumberFormat="1" applyFont="1" applyBorder="1" applyAlignment="1">
      <alignment horizontal="center" vertical="center" wrapText="1"/>
    </xf>
    <xf numFmtId="166" fontId="8" fillId="0" borderId="1" xfId="0" applyNumberFormat="1" applyFont="1" applyBorder="1" applyAlignment="1"/>
    <xf numFmtId="0" fontId="8" fillId="0" borderId="8" xfId="0" applyFont="1" applyBorder="1" applyAlignment="1"/>
    <xf numFmtId="0" fontId="8" fillId="0" borderId="4" xfId="0" applyFont="1" applyBorder="1" applyAlignment="1">
      <alignment wrapText="1"/>
    </xf>
    <xf numFmtId="49" fontId="9" fillId="5" borderId="1" xfId="0" applyNumberFormat="1" applyFont="1" applyFill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10" fillId="8" borderId="1" xfId="0" applyFont="1" applyFill="1" applyBorder="1" applyAlignment="1">
      <alignment wrapText="1"/>
    </xf>
    <xf numFmtId="166" fontId="10" fillId="0" borderId="1" xfId="4" applyNumberFormat="1" applyFont="1" applyBorder="1" applyAlignment="1">
      <alignment horizontal="center" wrapText="1"/>
    </xf>
    <xf numFmtId="0" fontId="45" fillId="0" borderId="1" xfId="0" applyFont="1" applyFill="1" applyBorder="1" applyAlignment="1">
      <alignment horizontal="left" vertical="center" wrapText="1"/>
    </xf>
    <xf numFmtId="49" fontId="45" fillId="0" borderId="1" xfId="0" applyNumberFormat="1" applyFont="1" applyFill="1" applyBorder="1" applyAlignment="1">
      <alignment horizontal="center" vertical="center"/>
    </xf>
    <xf numFmtId="166" fontId="45" fillId="0" borderId="1" xfId="0" applyNumberFormat="1" applyFont="1" applyFill="1" applyBorder="1" applyAlignment="1">
      <alignment horizontal="center" vertical="center"/>
    </xf>
    <xf numFmtId="166" fontId="8" fillId="0" borderId="0" xfId="0" applyNumberFormat="1" applyFont="1"/>
    <xf numFmtId="166" fontId="9" fillId="0" borderId="0" xfId="0" applyNumberFormat="1" applyFont="1"/>
    <xf numFmtId="0" fontId="10" fillId="2" borderId="1" xfId="1" applyFont="1" applyFill="1" applyBorder="1" applyAlignment="1" applyProtection="1">
      <alignment horizontal="left" vertical="center" wrapText="1"/>
    </xf>
    <xf numFmtId="0" fontId="10" fillId="0" borderId="1" xfId="0" applyFont="1" applyFill="1" applyBorder="1" applyAlignment="1">
      <alignment wrapText="1"/>
    </xf>
    <xf numFmtId="49" fontId="28" fillId="2" borderId="1" xfId="0" applyNumberFormat="1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wrapText="1"/>
    </xf>
    <xf numFmtId="169" fontId="11" fillId="2" borderId="7" xfId="0" applyNumberFormat="1" applyFont="1" applyFill="1" applyBorder="1" applyAlignment="1">
      <alignment horizontal="center" vertical="center"/>
    </xf>
    <xf numFmtId="169" fontId="10" fillId="2" borderId="7" xfId="0" applyNumberFormat="1" applyFont="1" applyFill="1" applyBorder="1" applyAlignment="1">
      <alignment horizontal="center" vertical="center"/>
    </xf>
    <xf numFmtId="166" fontId="10" fillId="0" borderId="7" xfId="0" applyNumberFormat="1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wrapText="1"/>
    </xf>
    <xf numFmtId="0" fontId="10" fillId="2" borderId="0" xfId="0" applyFont="1" applyFill="1" applyBorder="1"/>
    <xf numFmtId="49" fontId="10" fillId="2" borderId="0" xfId="0" applyNumberFormat="1" applyFont="1" applyFill="1" applyBorder="1"/>
    <xf numFmtId="0" fontId="11" fillId="0" borderId="1" xfId="0" applyFont="1" applyFill="1" applyBorder="1" applyAlignment="1">
      <alignment wrapText="1"/>
    </xf>
    <xf numFmtId="49" fontId="28" fillId="0" borderId="1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wrapText="1"/>
    </xf>
    <xf numFmtId="0" fontId="0" fillId="0" borderId="0" xfId="0" applyFill="1" applyBorder="1"/>
    <xf numFmtId="0" fontId="9" fillId="9" borderId="1" xfId="0" applyFont="1" applyFill="1" applyBorder="1" applyAlignment="1">
      <alignment horizontal="left" vertical="center" wrapText="1"/>
    </xf>
    <xf numFmtId="49" fontId="9" fillId="9" borderId="1" xfId="0" applyNumberFormat="1" applyFont="1" applyFill="1" applyBorder="1" applyAlignment="1">
      <alignment horizontal="center" vertical="center"/>
    </xf>
    <xf numFmtId="0" fontId="36" fillId="0" borderId="0" xfId="0" applyFont="1"/>
    <xf numFmtId="10" fontId="36" fillId="0" borderId="0" xfId="0" applyNumberFormat="1" applyFont="1"/>
    <xf numFmtId="172" fontId="36" fillId="0" borderId="0" xfId="6" applyNumberFormat="1" applyFont="1"/>
    <xf numFmtId="0" fontId="36" fillId="0" borderId="0" xfId="0" applyFont="1" applyBorder="1"/>
    <xf numFmtId="0" fontId="36" fillId="0" borderId="0" xfId="0" applyFont="1" applyBorder="1" applyAlignment="1">
      <alignment horizontal="center"/>
    </xf>
    <xf numFmtId="0" fontId="38" fillId="0" borderId="0" xfId="0" applyFont="1"/>
    <xf numFmtId="172" fontId="38" fillId="0" borderId="0" xfId="6" applyNumberFormat="1" applyFont="1"/>
    <xf numFmtId="10" fontId="36" fillId="0" borderId="0" xfId="6" applyNumberFormat="1" applyFont="1"/>
    <xf numFmtId="0" fontId="39" fillId="0" borderId="1" xfId="5" applyFont="1" applyFill="1" applyBorder="1" applyAlignment="1">
      <alignment horizontal="justify" vertical="center" wrapText="1"/>
    </xf>
    <xf numFmtId="0" fontId="37" fillId="0" borderId="1" xfId="0" applyFont="1" applyFill="1" applyBorder="1" applyAlignment="1">
      <alignment horizontal="left" vertical="top" wrapText="1"/>
    </xf>
    <xf numFmtId="169" fontId="37" fillId="0" borderId="1" xfId="0" applyNumberFormat="1" applyFont="1" applyFill="1" applyBorder="1" applyAlignment="1">
      <alignment horizontal="center" vertical="top" wrapText="1"/>
    </xf>
    <xf numFmtId="0" fontId="36" fillId="0" borderId="1" xfId="0" applyFont="1" applyBorder="1"/>
    <xf numFmtId="0" fontId="36" fillId="0" borderId="9" xfId="0" applyFont="1" applyBorder="1"/>
    <xf numFmtId="4" fontId="10" fillId="0" borderId="0" xfId="0" applyNumberFormat="1" applyFont="1" applyFill="1"/>
    <xf numFmtId="0" fontId="10" fillId="0" borderId="0" xfId="0" applyFont="1" applyFill="1" applyAlignment="1">
      <alignment wrapText="1"/>
    </xf>
    <xf numFmtId="0" fontId="11" fillId="3" borderId="1" xfId="0" applyFont="1" applyFill="1" applyBorder="1" applyAlignment="1">
      <alignment horizontal="center" vertical="top" wrapText="1"/>
    </xf>
    <xf numFmtId="0" fontId="27" fillId="3" borderId="1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center" vertical="top" wrapText="1"/>
    </xf>
    <xf numFmtId="0" fontId="32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vertical="top" wrapText="1"/>
    </xf>
    <xf numFmtId="0" fontId="10" fillId="8" borderId="1" xfId="0" applyFont="1" applyFill="1" applyBorder="1" applyAlignment="1">
      <alignment horizontal="center" vertical="top" wrapText="1"/>
    </xf>
    <xf numFmtId="0" fontId="10" fillId="8" borderId="1" xfId="0" applyFont="1" applyFill="1" applyBorder="1" applyAlignment="1">
      <alignment vertical="top" wrapText="1"/>
    </xf>
    <xf numFmtId="0" fontId="10" fillId="8" borderId="0" xfId="0" applyFont="1" applyFill="1" applyAlignment="1">
      <alignment vertical="top"/>
    </xf>
    <xf numFmtId="0" fontId="10" fillId="0" borderId="0" xfId="0" applyFont="1" applyFill="1" applyAlignment="1">
      <alignment vertical="top"/>
    </xf>
    <xf numFmtId="0" fontId="10" fillId="0" borderId="0" xfId="0" applyFont="1" applyFill="1" applyAlignment="1">
      <alignment vertical="top" wrapText="1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vertical="top" wrapText="1"/>
    </xf>
    <xf numFmtId="0" fontId="10" fillId="0" borderId="1" xfId="0" applyFont="1" applyFill="1" applyBorder="1" applyAlignment="1">
      <alignment horizontal="justify" vertical="top" wrapText="1"/>
    </xf>
    <xf numFmtId="0" fontId="27" fillId="3" borderId="1" xfId="0" applyFont="1" applyFill="1" applyBorder="1" applyAlignment="1">
      <alignment vertical="top" wrapText="1"/>
    </xf>
    <xf numFmtId="0" fontId="32" fillId="0" borderId="1" xfId="0" applyFont="1" applyFill="1" applyBorder="1" applyAlignment="1">
      <alignment vertical="top" wrapText="1"/>
    </xf>
    <xf numFmtId="0" fontId="11" fillId="3" borderId="1" xfId="0" applyFont="1" applyFill="1" applyBorder="1" applyAlignment="1">
      <alignment horizontal="justify" vertical="top" wrapText="1"/>
    </xf>
    <xf numFmtId="0" fontId="42" fillId="3" borderId="1" xfId="0" applyFont="1" applyFill="1" applyBorder="1"/>
    <xf numFmtId="0" fontId="10" fillId="5" borderId="1" xfId="0" applyFont="1" applyFill="1" applyBorder="1"/>
    <xf numFmtId="0" fontId="10" fillId="5" borderId="1" xfId="0" applyFont="1" applyFill="1" applyBorder="1" applyAlignment="1">
      <alignment wrapText="1"/>
    </xf>
    <xf numFmtId="0" fontId="42" fillId="0" borderId="1" xfId="0" applyFont="1" applyBorder="1" applyAlignment="1">
      <alignment horizontal="center"/>
    </xf>
    <xf numFmtId="0" fontId="41" fillId="0" borderId="1" xfId="0" applyFont="1" applyBorder="1"/>
    <xf numFmtId="0" fontId="41" fillId="0" borderId="1" xfId="0" applyFont="1" applyFill="1" applyBorder="1"/>
    <xf numFmtId="0" fontId="42" fillId="3" borderId="1" xfId="0" applyFont="1" applyFill="1" applyBorder="1" applyAlignment="1">
      <alignment horizontal="center"/>
    </xf>
    <xf numFmtId="166" fontId="11" fillId="3" borderId="1" xfId="0" applyNumberFormat="1" applyFont="1" applyFill="1" applyBorder="1" applyAlignment="1">
      <alignment horizontal="center" vertical="top" wrapText="1"/>
    </xf>
    <xf numFmtId="166" fontId="10" fillId="0" borderId="1" xfId="0" applyNumberFormat="1" applyFont="1" applyFill="1" applyBorder="1" applyAlignment="1">
      <alignment horizontal="center" vertical="top" wrapText="1"/>
    </xf>
    <xf numFmtId="166" fontId="10" fillId="8" borderId="1" xfId="0" applyNumberFormat="1" applyFont="1" applyFill="1" applyBorder="1" applyAlignment="1">
      <alignment horizontal="center" vertical="top" wrapText="1"/>
    </xf>
    <xf numFmtId="166" fontId="11" fillId="5" borderId="1" xfId="0" applyNumberFormat="1" applyFont="1" applyFill="1" applyBorder="1" applyAlignment="1">
      <alignment horizontal="center" vertical="top" wrapText="1"/>
    </xf>
    <xf numFmtId="0" fontId="8" fillId="8" borderId="1" xfId="0" applyFont="1" applyFill="1" applyBorder="1" applyAlignment="1">
      <alignment horizontal="left" vertical="center" wrapText="1"/>
    </xf>
    <xf numFmtId="169" fontId="0" fillId="0" borderId="0" xfId="0" applyNumberFormat="1" applyFont="1"/>
    <xf numFmtId="0" fontId="8" fillId="0" borderId="1" xfId="0" applyFont="1" applyFill="1" applyBorder="1" applyAlignment="1">
      <alignment horizontal="center" vertical="center"/>
    </xf>
    <xf numFmtId="49" fontId="8" fillId="9" borderId="1" xfId="0" applyNumberFormat="1" applyFont="1" applyFill="1" applyBorder="1" applyAlignment="1">
      <alignment horizontal="center" vertical="center"/>
    </xf>
    <xf numFmtId="49" fontId="17" fillId="9" borderId="1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left" vertical="center" wrapText="1"/>
    </xf>
    <xf numFmtId="166" fontId="28" fillId="0" borderId="1" xfId="0" applyNumberFormat="1" applyFont="1" applyFill="1" applyBorder="1" applyAlignment="1">
      <alignment horizontal="center" vertical="center"/>
    </xf>
    <xf numFmtId="169" fontId="11" fillId="2" borderId="0" xfId="0" applyNumberFormat="1" applyFont="1" applyFill="1" applyBorder="1" applyAlignment="1">
      <alignment vertical="center" wrapText="1"/>
    </xf>
    <xf numFmtId="0" fontId="29" fillId="8" borderId="1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0" fontId="28" fillId="8" borderId="1" xfId="0" applyFont="1" applyFill="1" applyBorder="1" applyAlignment="1">
      <alignment horizontal="left" vertical="center" wrapText="1"/>
    </xf>
    <xf numFmtId="0" fontId="11" fillId="8" borderId="1" xfId="0" applyFont="1" applyFill="1" applyBorder="1" applyAlignment="1">
      <alignment horizontal="center" vertical="center"/>
    </xf>
    <xf numFmtId="49" fontId="28" fillId="8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166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49" fontId="8" fillId="10" borderId="1" xfId="0" applyNumberFormat="1" applyFont="1" applyFill="1" applyBorder="1" applyAlignment="1">
      <alignment horizontal="center" vertical="center"/>
    </xf>
    <xf numFmtId="166" fontId="8" fillId="10" borderId="1" xfId="0" applyNumberFormat="1" applyFont="1" applyFill="1" applyBorder="1" applyAlignment="1">
      <alignment horizontal="center" vertical="center"/>
    </xf>
    <xf numFmtId="0" fontId="18" fillId="10" borderId="1" xfId="0" applyFont="1" applyFill="1" applyBorder="1" applyAlignment="1">
      <alignment horizontal="left" vertical="center" wrapText="1"/>
    </xf>
    <xf numFmtId="49" fontId="9" fillId="10" borderId="1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66" fontId="9" fillId="5" borderId="1" xfId="0" applyNumberFormat="1" applyFont="1" applyFill="1" applyBorder="1" applyAlignment="1">
      <alignment horizontal="center" vertical="center"/>
    </xf>
    <xf numFmtId="166" fontId="9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Font="1" applyBorder="1"/>
    <xf numFmtId="0" fontId="9" fillId="5" borderId="1" xfId="0" applyFont="1" applyFill="1" applyBorder="1" applyAlignment="1">
      <alignment horizontal="center" vertical="center" wrapText="1"/>
    </xf>
    <xf numFmtId="170" fontId="0" fillId="0" borderId="0" xfId="0" applyNumberFormat="1" applyFill="1" applyBorder="1"/>
    <xf numFmtId="49" fontId="11" fillId="0" borderId="1" xfId="0" applyNumberFormat="1" applyFont="1" applyFill="1" applyBorder="1" applyAlignment="1">
      <alignment wrapText="1"/>
    </xf>
    <xf numFmtId="0" fontId="11" fillId="5" borderId="1" xfId="0" applyFont="1" applyFill="1" applyBorder="1" applyAlignment="1">
      <alignment wrapText="1"/>
    </xf>
    <xf numFmtId="49" fontId="11" fillId="5" borderId="1" xfId="0" applyNumberFormat="1" applyFont="1" applyFill="1" applyBorder="1" applyAlignment="1">
      <alignment horizontal="center" vertical="center"/>
    </xf>
    <xf numFmtId="169" fontId="11" fillId="2" borderId="1" xfId="0" applyNumberFormat="1" applyFont="1" applyFill="1" applyBorder="1" applyAlignment="1">
      <alignment horizontal="center" vertical="center" wrapText="1"/>
    </xf>
    <xf numFmtId="49" fontId="11" fillId="8" borderId="1" xfId="0" applyNumberFormat="1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wrapText="1"/>
    </xf>
    <xf numFmtId="49" fontId="8" fillId="5" borderId="1" xfId="0" applyNumberFormat="1" applyFont="1" applyFill="1" applyBorder="1" applyAlignment="1">
      <alignment horizontal="center" vertical="center"/>
    </xf>
    <xf numFmtId="0" fontId="46" fillId="0" borderId="13" xfId="0" applyNumberFormat="1" applyFont="1" applyFill="1" applyBorder="1" applyAlignment="1">
      <alignment horizontal="center" vertical="top" wrapText="1"/>
    </xf>
    <xf numFmtId="0" fontId="46" fillId="0" borderId="13" xfId="0" applyNumberFormat="1" applyFont="1" applyFill="1" applyBorder="1" applyAlignment="1">
      <alignment vertical="top" wrapText="1"/>
    </xf>
    <xf numFmtId="49" fontId="47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165" fontId="9" fillId="0" borderId="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166" fontId="10" fillId="2" borderId="0" xfId="0" applyNumberFormat="1" applyFont="1" applyFill="1" applyAlignment="1"/>
    <xf numFmtId="166" fontId="11" fillId="5" borderId="1" xfId="0" applyNumberFormat="1" applyFont="1" applyFill="1" applyBorder="1"/>
    <xf numFmtId="171" fontId="10" fillId="0" borderId="0" xfId="0" applyNumberFormat="1" applyFont="1" applyFill="1"/>
    <xf numFmtId="166" fontId="10" fillId="0" borderId="1" xfId="0" applyNumberFormat="1" applyFont="1" applyFill="1" applyBorder="1" applyAlignment="1">
      <alignment wrapText="1"/>
    </xf>
    <xf numFmtId="166" fontId="11" fillId="5" borderId="1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166" fontId="10" fillId="2" borderId="0" xfId="0" applyNumberFormat="1" applyFont="1" applyFill="1" applyBorder="1" applyAlignment="1">
      <alignment horizontal="right"/>
    </xf>
    <xf numFmtId="166" fontId="11" fillId="8" borderId="1" xfId="0" applyNumberFormat="1" applyFont="1" applyFill="1" applyBorder="1" applyAlignment="1">
      <alignment horizontal="center" vertical="center"/>
    </xf>
    <xf numFmtId="166" fontId="10" fillId="2" borderId="0" xfId="0" applyNumberFormat="1" applyFont="1" applyFill="1" applyAlignment="1">
      <alignment wrapText="1"/>
    </xf>
    <xf numFmtId="166" fontId="0" fillId="0" borderId="0" xfId="0" applyNumberFormat="1" applyFont="1"/>
    <xf numFmtId="166" fontId="8" fillId="0" borderId="0" xfId="0" applyNumberFormat="1" applyFont="1" applyFill="1" applyBorder="1" applyAlignment="1">
      <alignment horizontal="right"/>
    </xf>
    <xf numFmtId="166" fontId="16" fillId="0" borderId="1" xfId="0" applyNumberFormat="1" applyFont="1" applyBorder="1" applyAlignment="1">
      <alignment horizontal="center" vertical="center" wrapText="1"/>
    </xf>
    <xf numFmtId="166" fontId="8" fillId="8" borderId="1" xfId="0" applyNumberFormat="1" applyFont="1" applyFill="1" applyBorder="1" applyAlignment="1">
      <alignment horizontal="center" vertical="center"/>
    </xf>
    <xf numFmtId="166" fontId="9" fillId="9" borderId="1" xfId="0" applyNumberFormat="1" applyFont="1" applyFill="1" applyBorder="1" applyAlignment="1">
      <alignment horizontal="center" vertical="center"/>
    </xf>
    <xf numFmtId="166" fontId="18" fillId="0" borderId="1" xfId="0" applyNumberFormat="1" applyFont="1" applyFill="1" applyBorder="1" applyAlignment="1">
      <alignment horizontal="center" vertical="center"/>
    </xf>
    <xf numFmtId="166" fontId="0" fillId="0" borderId="1" xfId="0" applyNumberFormat="1" applyFont="1" applyBorder="1"/>
    <xf numFmtId="166" fontId="0" fillId="0" borderId="1" xfId="0" applyNumberFormat="1" applyFont="1" applyFill="1" applyBorder="1" applyAlignment="1">
      <alignment horizontal="center" vertical="center"/>
    </xf>
    <xf numFmtId="166" fontId="8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ont="1" applyBorder="1"/>
    <xf numFmtId="166" fontId="9" fillId="8" borderId="1" xfId="0" applyNumberFormat="1" applyFont="1" applyFill="1" applyBorder="1" applyAlignment="1">
      <alignment horizontal="center"/>
    </xf>
    <xf numFmtId="166" fontId="9" fillId="0" borderId="1" xfId="0" applyNumberFormat="1" applyFont="1" applyBorder="1" applyAlignment="1">
      <alignment horizontal="center"/>
    </xf>
    <xf numFmtId="0" fontId="39" fillId="0" borderId="1" xfId="0" applyFont="1" applyFill="1" applyBorder="1" applyAlignment="1">
      <alignment wrapText="1"/>
    </xf>
    <xf numFmtId="0" fontId="32" fillId="8" borderId="1" xfId="0" applyFont="1" applyFill="1" applyBorder="1" applyAlignment="1">
      <alignment horizontal="center" vertical="top" wrapText="1"/>
    </xf>
    <xf numFmtId="166" fontId="8" fillId="2" borderId="0" xfId="0" applyNumberFormat="1" applyFont="1" applyFill="1"/>
    <xf numFmtId="166" fontId="10" fillId="2" borderId="7" xfId="0" applyNumberFormat="1" applyFont="1" applyFill="1" applyBorder="1" applyAlignment="1">
      <alignment wrapText="1"/>
    </xf>
    <xf numFmtId="166" fontId="11" fillId="2" borderId="7" xfId="0" applyNumberFormat="1" applyFont="1" applyFill="1" applyBorder="1" applyAlignment="1">
      <alignment horizontal="center" vertical="center"/>
    </xf>
    <xf numFmtId="166" fontId="9" fillId="0" borderId="1" xfId="0" applyNumberFormat="1" applyFont="1" applyBorder="1" applyAlignment="1">
      <alignment horizontal="center" vertical="center"/>
    </xf>
    <xf numFmtId="166" fontId="8" fillId="0" borderId="0" xfId="0" applyNumberFormat="1" applyFont="1" applyAlignment="1">
      <alignment horizontal="right"/>
    </xf>
    <xf numFmtId="166" fontId="17" fillId="2" borderId="0" xfId="0" applyNumberFormat="1" applyFont="1" applyFill="1"/>
    <xf numFmtId="0" fontId="10" fillId="8" borderId="1" xfId="0" applyFont="1" applyFill="1" applyBorder="1" applyAlignment="1">
      <alignment horizontal="center" vertical="top"/>
    </xf>
    <xf numFmtId="0" fontId="32" fillId="8" borderId="1" xfId="0" applyFont="1" applyFill="1" applyBorder="1" applyAlignment="1">
      <alignment vertical="top" wrapText="1"/>
    </xf>
    <xf numFmtId="0" fontId="32" fillId="6" borderId="1" xfId="0" applyFont="1" applyFill="1" applyBorder="1" applyAlignment="1">
      <alignment horizontal="left" vertical="center" wrapText="1"/>
    </xf>
    <xf numFmtId="166" fontId="18" fillId="2" borderId="0" xfId="0" applyNumberFormat="1" applyFont="1" applyFill="1"/>
    <xf numFmtId="166" fontId="9" fillId="8" borderId="0" xfId="0" applyNumberFormat="1" applyFont="1" applyFill="1" applyBorder="1" applyAlignment="1">
      <alignment horizontal="center"/>
    </xf>
    <xf numFmtId="169" fontId="11" fillId="5" borderId="1" xfId="0" applyNumberFormat="1" applyFont="1" applyFill="1" applyBorder="1" applyAlignment="1">
      <alignment wrapText="1"/>
    </xf>
    <xf numFmtId="49" fontId="10" fillId="11" borderId="1" xfId="0" applyNumberFormat="1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wrapText="1"/>
    </xf>
    <xf numFmtId="0" fontId="29" fillId="0" borderId="1" xfId="4" applyNumberFormat="1" applyFont="1" applyBorder="1" applyAlignment="1">
      <alignment wrapText="1"/>
    </xf>
    <xf numFmtId="0" fontId="10" fillId="0" borderId="1" xfId="0" applyFont="1" applyFill="1" applyBorder="1" applyAlignment="1">
      <alignment horizontal="center" vertical="center" wrapText="1"/>
    </xf>
    <xf numFmtId="165" fontId="49" fillId="0" borderId="1" xfId="0" applyNumberFormat="1" applyFont="1" applyBorder="1"/>
    <xf numFmtId="169" fontId="10" fillId="0" borderId="1" xfId="0" applyNumberFormat="1" applyFont="1" applyFill="1" applyBorder="1" applyAlignment="1">
      <alignment wrapText="1"/>
    </xf>
    <xf numFmtId="165" fontId="10" fillId="0" borderId="1" xfId="0" applyNumberFormat="1" applyFont="1" applyFill="1" applyBorder="1"/>
    <xf numFmtId="166" fontId="9" fillId="2" borderId="0" xfId="0" applyNumberFormat="1" applyFont="1" applyFill="1"/>
    <xf numFmtId="0" fontId="10" fillId="0" borderId="0" xfId="0" applyFont="1" applyFill="1" applyAlignment="1">
      <alignment horizontal="right"/>
    </xf>
    <xf numFmtId="0" fontId="36" fillId="0" borderId="0" xfId="0" applyFont="1" applyFill="1"/>
    <xf numFmtId="0" fontId="36" fillId="0" borderId="0" xfId="0" applyFont="1" applyFill="1" applyBorder="1"/>
    <xf numFmtId="0" fontId="8" fillId="0" borderId="0" xfId="0" applyFont="1" applyFill="1" applyAlignment="1"/>
    <xf numFmtId="0" fontId="36" fillId="0" borderId="0" xfId="0" applyFont="1" applyFill="1" applyBorder="1" applyAlignment="1">
      <alignment horizontal="center"/>
    </xf>
    <xf numFmtId="0" fontId="39" fillId="0" borderId="1" xfId="0" applyFont="1" applyFill="1" applyBorder="1" applyAlignment="1">
      <alignment horizontal="center" vertical="top" wrapText="1"/>
    </xf>
    <xf numFmtId="0" fontId="39" fillId="0" borderId="1" xfId="0" applyFont="1" applyFill="1" applyBorder="1" applyAlignment="1">
      <alignment horizontal="left" vertical="top" wrapText="1"/>
    </xf>
    <xf numFmtId="169" fontId="39" fillId="0" borderId="1" xfId="0" applyNumberFormat="1" applyFont="1" applyFill="1" applyBorder="1" applyAlignment="1">
      <alignment horizontal="center" vertical="top" wrapText="1"/>
    </xf>
    <xf numFmtId="0" fontId="39" fillId="0" borderId="1" xfId="0" applyNumberFormat="1" applyFont="1" applyFill="1" applyBorder="1" applyAlignment="1">
      <alignment horizontal="left" vertical="top" wrapText="1"/>
    </xf>
    <xf numFmtId="0" fontId="37" fillId="0" borderId="4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left" vertical="center" wrapText="1"/>
    </xf>
    <xf numFmtId="0" fontId="39" fillId="0" borderId="7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vertical="top" wrapText="1"/>
    </xf>
    <xf numFmtId="169" fontId="19" fillId="0" borderId="1" xfId="0" applyNumberFormat="1" applyFont="1" applyFill="1" applyBorder="1" applyAlignment="1">
      <alignment horizontal="center" vertical="top" wrapText="1"/>
    </xf>
    <xf numFmtId="0" fontId="37" fillId="0" borderId="7" xfId="0" applyFont="1" applyFill="1" applyBorder="1" applyAlignment="1">
      <alignment horizontal="center" vertical="top" wrapText="1"/>
    </xf>
    <xf numFmtId="0" fontId="39" fillId="0" borderId="7" xfId="0" applyFont="1" applyFill="1" applyBorder="1" applyAlignment="1">
      <alignment horizontal="center" vertical="top" wrapText="1"/>
    </xf>
    <xf numFmtId="0" fontId="39" fillId="0" borderId="1" xfId="0" applyFont="1" applyFill="1" applyBorder="1" applyAlignment="1">
      <alignment vertical="top" wrapText="1"/>
    </xf>
    <xf numFmtId="169" fontId="39" fillId="0" borderId="1" xfId="0" applyNumberFormat="1" applyFont="1" applyFill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left" vertical="center" wrapText="1"/>
    </xf>
    <xf numFmtId="0" fontId="44" fillId="0" borderId="1" xfId="4" applyNumberFormat="1" applyFont="1" applyBorder="1" applyAlignment="1">
      <alignment wrapText="1"/>
    </xf>
    <xf numFmtId="166" fontId="29" fillId="0" borderId="1" xfId="4" applyNumberFormat="1" applyFont="1" applyBorder="1" applyAlignment="1">
      <alignment horizontal="center" wrapText="1"/>
    </xf>
    <xf numFmtId="166" fontId="11" fillId="6" borderId="1" xfId="0" applyNumberFormat="1" applyFont="1" applyFill="1" applyBorder="1" applyAlignment="1">
      <alignment horizontal="center" vertical="center"/>
    </xf>
    <xf numFmtId="49" fontId="29" fillId="2" borderId="1" xfId="0" applyNumberFormat="1" applyFont="1" applyFill="1" applyBorder="1" applyAlignment="1">
      <alignment vertical="center"/>
    </xf>
    <xf numFmtId="0" fontId="8" fillId="0" borderId="1" xfId="0" applyFont="1" applyBorder="1" applyAlignment="1">
      <alignment horizontal="center"/>
    </xf>
    <xf numFmtId="166" fontId="29" fillId="2" borderId="1" xfId="0" applyNumberFormat="1" applyFont="1" applyFill="1" applyBorder="1" applyAlignment="1">
      <alignment horizontal="center" vertical="center" wrapText="1"/>
    </xf>
    <xf numFmtId="166" fontId="10" fillId="8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/>
    </xf>
    <xf numFmtId="3" fontId="39" fillId="0" borderId="1" xfId="0" applyNumberFormat="1" applyFont="1" applyFill="1" applyBorder="1" applyAlignment="1">
      <alignment horizontal="center" vertical="top" wrapText="1"/>
    </xf>
    <xf numFmtId="0" fontId="39" fillId="0" borderId="1" xfId="0" applyFont="1" applyFill="1" applyBorder="1" applyAlignment="1">
      <alignment horizontal="center" wrapText="1"/>
    </xf>
    <xf numFmtId="167" fontId="10" fillId="0" borderId="1" xfId="0" applyNumberFormat="1" applyFont="1" applyFill="1" applyBorder="1"/>
    <xf numFmtId="165" fontId="9" fillId="0" borderId="0" xfId="0" applyNumberFormat="1" applyFont="1" applyAlignment="1">
      <alignment horizontal="right" vertical="center" wrapText="1"/>
    </xf>
    <xf numFmtId="0" fontId="18" fillId="12" borderId="1" xfId="0" applyFont="1" applyFill="1" applyBorder="1" applyAlignment="1">
      <alignment horizontal="left" vertical="center" wrapText="1"/>
    </xf>
    <xf numFmtId="0" fontId="18" fillId="12" borderId="1" xfId="0" applyFont="1" applyFill="1" applyBorder="1" applyAlignment="1">
      <alignment horizontal="center" vertical="center"/>
    </xf>
    <xf numFmtId="166" fontId="18" fillId="12" borderId="1" xfId="0" applyNumberFormat="1" applyFont="1" applyFill="1" applyBorder="1" applyAlignment="1">
      <alignment horizontal="center" vertical="center"/>
    </xf>
    <xf numFmtId="0" fontId="8" fillId="0" borderId="1" xfId="0" applyFont="1" applyBorder="1"/>
    <xf numFmtId="0" fontId="9" fillId="0" borderId="1" xfId="0" applyFont="1" applyBorder="1" applyAlignment="1">
      <alignment horizontal="center" vertical="center" wrapText="1"/>
    </xf>
    <xf numFmtId="0" fontId="9" fillId="8" borderId="0" xfId="0" applyFont="1" applyFill="1" applyBorder="1" applyAlignment="1">
      <alignment horizontal="center" vertical="center" wrapText="1"/>
    </xf>
    <xf numFmtId="166" fontId="9" fillId="0" borderId="0" xfId="0" applyNumberFormat="1" applyFont="1" applyBorder="1" applyAlignment="1">
      <alignment horizontal="center"/>
    </xf>
    <xf numFmtId="166" fontId="8" fillId="0" borderId="0" xfId="0" applyNumberFormat="1" applyFont="1" applyBorder="1" applyAlignment="1"/>
    <xf numFmtId="0" fontId="9" fillId="0" borderId="0" xfId="0" applyFont="1" applyBorder="1" applyAlignment="1">
      <alignment horizontal="center"/>
    </xf>
    <xf numFmtId="166" fontId="8" fillId="0" borderId="12" xfId="0" applyNumberFormat="1" applyFont="1" applyBorder="1" applyAlignment="1"/>
    <xf numFmtId="0" fontId="11" fillId="0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 wrapText="1"/>
    </xf>
    <xf numFmtId="166" fontId="10" fillId="0" borderId="1" xfId="0" applyNumberFormat="1" applyFont="1" applyFill="1" applyBorder="1" applyAlignment="1">
      <alignment horizontal="center" vertical="top"/>
    </xf>
    <xf numFmtId="0" fontId="43" fillId="0" borderId="1" xfId="0" applyFont="1" applyBorder="1" applyAlignment="1">
      <alignment horizontal="left" vertical="center" wrapText="1"/>
    </xf>
    <xf numFmtId="0" fontId="8" fillId="0" borderId="1" xfId="0" applyFont="1" applyBorder="1"/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/>
    <xf numFmtId="0" fontId="9" fillId="0" borderId="0" xfId="0" applyFont="1" applyAlignment="1">
      <alignment horizontal="center" vertical="top" wrapText="1"/>
    </xf>
    <xf numFmtId="0" fontId="10" fillId="2" borderId="1" xfId="0" applyFont="1" applyFill="1" applyBorder="1" applyAlignment="1">
      <alignment horizontal="left" vertical="center"/>
    </xf>
    <xf numFmtId="49" fontId="10" fillId="2" borderId="1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left" vertical="center" wrapText="1"/>
    </xf>
    <xf numFmtId="0" fontId="10" fillId="2" borderId="3" xfId="0" applyFont="1" applyFill="1" applyBorder="1"/>
    <xf numFmtId="49" fontId="10" fillId="2" borderId="3" xfId="0" applyNumberFormat="1" applyFont="1" applyFill="1" applyBorder="1"/>
    <xf numFmtId="0" fontId="10" fillId="2" borderId="3" xfId="0" applyFont="1" applyFill="1" applyBorder="1" applyAlignment="1">
      <alignment horizontal="center"/>
    </xf>
    <xf numFmtId="166" fontId="10" fillId="2" borderId="3" xfId="0" applyNumberFormat="1" applyFont="1" applyFill="1" applyBorder="1"/>
    <xf numFmtId="0" fontId="30" fillId="8" borderId="0" xfId="0" applyFont="1" applyFill="1" applyBorder="1" applyAlignment="1">
      <alignment horizontal="left" vertical="center" wrapText="1"/>
    </xf>
    <xf numFmtId="49" fontId="29" fillId="8" borderId="0" xfId="0" applyNumberFormat="1" applyFont="1" applyFill="1" applyBorder="1" applyAlignment="1">
      <alignment horizontal="center" vertical="center"/>
    </xf>
    <xf numFmtId="166" fontId="29" fillId="8" borderId="0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center"/>
    </xf>
    <xf numFmtId="49" fontId="10" fillId="2" borderId="0" xfId="0" applyNumberFormat="1" applyFont="1" applyFill="1" applyBorder="1" applyAlignment="1">
      <alignment horizontal="center"/>
    </xf>
    <xf numFmtId="166" fontId="10" fillId="2" borderId="0" xfId="0" applyNumberFormat="1" applyFont="1" applyFill="1" applyBorder="1" applyAlignment="1">
      <alignment horizontal="center"/>
    </xf>
    <xf numFmtId="0" fontId="18" fillId="8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49" fontId="9" fillId="8" borderId="1" xfId="0" applyNumberFormat="1" applyFont="1" applyFill="1" applyBorder="1" applyAlignment="1">
      <alignment horizontal="center" vertical="center"/>
    </xf>
    <xf numFmtId="166" fontId="9" fillId="8" borderId="1" xfId="0" applyNumberFormat="1" applyFont="1" applyFill="1" applyBorder="1" applyAlignment="1">
      <alignment horizontal="center" vertical="center"/>
    </xf>
    <xf numFmtId="166" fontId="39" fillId="0" borderId="1" xfId="0" applyNumberFormat="1" applyFont="1" applyFill="1" applyBorder="1" applyAlignment="1">
      <alignment horizontal="center" vertical="top" wrapText="1"/>
    </xf>
    <xf numFmtId="4" fontId="29" fillId="8" borderId="0" xfId="0" applyNumberFormat="1" applyFont="1" applyFill="1" applyBorder="1" applyAlignment="1">
      <alignment horizontal="center" vertical="center"/>
    </xf>
    <xf numFmtId="165" fontId="9" fillId="0" borderId="10" xfId="0" applyNumberFormat="1" applyFont="1" applyBorder="1" applyAlignment="1">
      <alignment horizontal="center" vertical="center" wrapText="1"/>
    </xf>
    <xf numFmtId="166" fontId="37" fillId="0" borderId="1" xfId="0" applyNumberFormat="1" applyFont="1" applyBorder="1" applyAlignment="1">
      <alignment horizontal="center" vertical="top" wrapText="1"/>
    </xf>
    <xf numFmtId="166" fontId="37" fillId="0" borderId="1" xfId="0" applyNumberFormat="1" applyFont="1" applyFill="1" applyBorder="1" applyAlignment="1">
      <alignment horizontal="center" vertical="top" wrapText="1"/>
    </xf>
    <xf numFmtId="166" fontId="10" fillId="2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wrapText="1"/>
    </xf>
    <xf numFmtId="167" fontId="8" fillId="0" borderId="1" xfId="0" applyNumberFormat="1" applyFont="1" applyBorder="1"/>
    <xf numFmtId="167" fontId="8" fillId="0" borderId="1" xfId="0" applyNumberFormat="1" applyFont="1" applyBorder="1" applyAlignment="1">
      <alignment horizontal="right"/>
    </xf>
    <xf numFmtId="167" fontId="8" fillId="0" borderId="1" xfId="7" applyNumberFormat="1" applyFont="1" applyBorder="1" applyAlignment="1">
      <alignment horizontal="right" wrapText="1"/>
    </xf>
    <xf numFmtId="170" fontId="8" fillId="0" borderId="1" xfId="0" applyNumberFormat="1" applyFont="1" applyBorder="1"/>
    <xf numFmtId="166" fontId="10" fillId="2" borderId="0" xfId="0" applyNumberFormat="1" applyFont="1" applyFill="1" applyAlignment="1">
      <alignment horizontal="right"/>
    </xf>
    <xf numFmtId="10" fontId="37" fillId="0" borderId="0" xfId="0" applyNumberFormat="1" applyFont="1"/>
    <xf numFmtId="0" fontId="37" fillId="0" borderId="0" xfId="0" applyFont="1" applyFill="1" applyBorder="1" applyAlignment="1">
      <alignment horizontal="center"/>
    </xf>
    <xf numFmtId="0" fontId="10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top" wrapText="1"/>
    </xf>
    <xf numFmtId="166" fontId="8" fillId="0" borderId="0" xfId="0" applyNumberFormat="1" applyFont="1" applyFill="1"/>
    <xf numFmtId="0" fontId="50" fillId="0" borderId="1" xfId="0" applyFont="1" applyFill="1" applyBorder="1" applyAlignment="1">
      <alignment horizontal="left" vertical="center" wrapText="1"/>
    </xf>
    <xf numFmtId="49" fontId="50" fillId="0" borderId="1" xfId="0" applyNumberFormat="1" applyFont="1" applyFill="1" applyBorder="1" applyAlignment="1">
      <alignment horizontal="center" vertical="center"/>
    </xf>
    <xf numFmtId="49" fontId="50" fillId="2" borderId="1" xfId="0" applyNumberFormat="1" applyFont="1" applyFill="1" applyBorder="1" applyAlignment="1">
      <alignment horizontal="center" vertical="center"/>
    </xf>
    <xf numFmtId="166" fontId="50" fillId="2" borderId="1" xfId="0" applyNumberFormat="1" applyFont="1" applyFill="1" applyBorder="1" applyAlignment="1">
      <alignment horizontal="center" vertical="center"/>
    </xf>
    <xf numFmtId="49" fontId="17" fillId="5" borderId="1" xfId="0" applyNumberFormat="1" applyFont="1" applyFill="1" applyBorder="1" applyAlignment="1">
      <alignment horizontal="center" vertical="center"/>
    </xf>
    <xf numFmtId="0" fontId="10" fillId="8" borderId="0" xfId="0" applyFont="1" applyFill="1" applyAlignment="1">
      <alignment wrapText="1"/>
    </xf>
    <xf numFmtId="0" fontId="10" fillId="0" borderId="14" xfId="0" applyFont="1" applyFill="1" applyBorder="1" applyAlignment="1">
      <alignment horizontal="center" vertical="top" wrapText="1"/>
    </xf>
    <xf numFmtId="166" fontId="10" fillId="5" borderId="1" xfId="0" applyNumberFormat="1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8" fillId="0" borderId="0" xfId="0" applyFont="1" applyAlignment="1">
      <alignment horizontal="right"/>
    </xf>
    <xf numFmtId="0" fontId="24" fillId="0" borderId="1" xfId="0" applyFont="1" applyBorder="1"/>
    <xf numFmtId="166" fontId="8" fillId="0" borderId="10" xfId="0" applyNumberFormat="1" applyFont="1" applyBorder="1" applyAlignment="1"/>
    <xf numFmtId="0" fontId="8" fillId="0" borderId="0" xfId="0" applyFont="1" applyAlignment="1">
      <alignment horizontal="right"/>
    </xf>
    <xf numFmtId="0" fontId="19" fillId="0" borderId="1" xfId="0" applyFont="1" applyBorder="1" applyAlignment="1">
      <alignment horizontal="center" vertical="center"/>
    </xf>
    <xf numFmtId="49" fontId="17" fillId="8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43" fillId="0" borderId="1" xfId="0" applyFont="1" applyFill="1" applyBorder="1" applyAlignment="1">
      <alignment wrapText="1"/>
    </xf>
    <xf numFmtId="0" fontId="52" fillId="0" borderId="1" xfId="0" applyFont="1" applyBorder="1"/>
    <xf numFmtId="0" fontId="51" fillId="0" borderId="1" xfId="0" applyFont="1" applyBorder="1"/>
    <xf numFmtId="0" fontId="27" fillId="0" borderId="1" xfId="0" applyFont="1" applyBorder="1" applyAlignment="1">
      <alignment horizontal="left" vertical="center" wrapText="1"/>
    </xf>
    <xf numFmtId="165" fontId="9" fillId="0" borderId="0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53" fillId="2" borderId="1" xfId="0" applyFont="1" applyFill="1" applyBorder="1" applyAlignment="1">
      <alignment horizontal="left" vertical="center" wrapText="1"/>
    </xf>
    <xf numFmtId="166" fontId="12" fillId="2" borderId="1" xfId="0" applyNumberFormat="1" applyFont="1" applyFill="1" applyBorder="1" applyAlignment="1">
      <alignment horizontal="center" vertical="center"/>
    </xf>
    <xf numFmtId="166" fontId="9" fillId="8" borderId="0" xfId="2" applyNumberFormat="1" applyFont="1" applyFill="1" applyBorder="1" applyAlignment="1">
      <alignment horizontal="center"/>
    </xf>
    <xf numFmtId="49" fontId="54" fillId="0" borderId="1" xfId="0" applyNumberFormat="1" applyFont="1" applyFill="1" applyBorder="1" applyAlignment="1">
      <alignment horizontal="center" vertical="center"/>
    </xf>
    <xf numFmtId="49" fontId="49" fillId="0" borderId="1" xfId="0" applyNumberFormat="1" applyFont="1" applyFill="1" applyBorder="1" applyAlignment="1">
      <alignment horizontal="center" vertical="center"/>
    </xf>
    <xf numFmtId="49" fontId="55" fillId="0" borderId="1" xfId="0" applyNumberFormat="1" applyFont="1" applyFill="1" applyBorder="1" applyAlignment="1">
      <alignment horizontal="center" vertical="center"/>
    </xf>
    <xf numFmtId="49" fontId="56" fillId="0" borderId="1" xfId="0" applyNumberFormat="1" applyFont="1" applyFill="1" applyBorder="1" applyAlignment="1">
      <alignment horizontal="center" vertical="center"/>
    </xf>
    <xf numFmtId="49" fontId="11" fillId="2" borderId="4" xfId="0" applyNumberFormat="1" applyFont="1" applyFill="1" applyBorder="1" applyAlignment="1">
      <alignment horizontal="center" vertical="center"/>
    </xf>
    <xf numFmtId="0" fontId="46" fillId="0" borderId="15" xfId="0" applyNumberFormat="1" applyFont="1" applyFill="1" applyBorder="1" applyAlignment="1">
      <alignment vertical="top" wrapText="1"/>
    </xf>
    <xf numFmtId="0" fontId="43" fillId="0" borderId="1" xfId="0" applyFont="1" applyFill="1" applyBorder="1" applyAlignment="1">
      <alignment horizontal="left" vertical="center" wrapText="1"/>
    </xf>
    <xf numFmtId="0" fontId="43" fillId="2" borderId="1" xfId="0" applyFont="1" applyFill="1" applyBorder="1" applyAlignment="1">
      <alignment horizontal="left" vertical="center" wrapText="1"/>
    </xf>
    <xf numFmtId="166" fontId="0" fillId="0" borderId="0" xfId="0" applyNumberFormat="1"/>
    <xf numFmtId="166" fontId="10" fillId="2" borderId="0" xfId="0" applyNumberFormat="1" applyFont="1" applyFill="1" applyAlignment="1">
      <alignment horizontal="right"/>
    </xf>
    <xf numFmtId="0" fontId="57" fillId="0" borderId="1" xfId="0" applyFont="1" applyBorder="1"/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165" fontId="0" fillId="0" borderId="0" xfId="0" applyNumberFormat="1"/>
    <xf numFmtId="0" fontId="43" fillId="8" borderId="1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/>
    </xf>
    <xf numFmtId="0" fontId="19" fillId="8" borderId="1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top" wrapText="1"/>
    </xf>
    <xf numFmtId="0" fontId="43" fillId="2" borderId="1" xfId="0" applyFont="1" applyFill="1" applyBorder="1" applyAlignment="1">
      <alignment wrapText="1"/>
    </xf>
    <xf numFmtId="0" fontId="11" fillId="6" borderId="1" xfId="0" applyFont="1" applyFill="1" applyBorder="1" applyAlignment="1">
      <alignment horizontal="left" vertical="center" wrapText="1"/>
    </xf>
    <xf numFmtId="0" fontId="10" fillId="6" borderId="1" xfId="0" applyFont="1" applyFill="1" applyBorder="1" applyAlignment="1">
      <alignment horizontal="center"/>
    </xf>
    <xf numFmtId="49" fontId="10" fillId="6" borderId="1" xfId="0" applyNumberFormat="1" applyFont="1" applyFill="1" applyBorder="1" applyAlignment="1">
      <alignment horizontal="center"/>
    </xf>
    <xf numFmtId="166" fontId="10" fillId="6" borderId="1" xfId="0" applyNumberFormat="1" applyFont="1" applyFill="1" applyBorder="1" applyAlignment="1">
      <alignment horizontal="center"/>
    </xf>
    <xf numFmtId="49" fontId="18" fillId="5" borderId="1" xfId="0" applyNumberFormat="1" applyFont="1" applyFill="1" applyBorder="1" applyAlignment="1">
      <alignment horizontal="center" vertical="center"/>
    </xf>
    <xf numFmtId="166" fontId="8" fillId="5" borderId="1" xfId="0" applyNumberFormat="1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 wrapText="1"/>
    </xf>
    <xf numFmtId="166" fontId="16" fillId="3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66" fontId="19" fillId="8" borderId="1" xfId="0" applyNumberFormat="1" applyFont="1" applyFill="1" applyBorder="1" applyAlignment="1">
      <alignment horizontal="center" vertical="center" wrapText="1"/>
    </xf>
    <xf numFmtId="166" fontId="19" fillId="0" borderId="1" xfId="0" applyNumberFormat="1" applyFont="1" applyBorder="1" applyAlignment="1">
      <alignment horizontal="center" vertical="center" wrapText="1"/>
    </xf>
    <xf numFmtId="0" fontId="27" fillId="6" borderId="1" xfId="0" applyFont="1" applyFill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6" fillId="5" borderId="1" xfId="0" applyFont="1" applyFill="1" applyBorder="1" applyAlignment="1">
      <alignment wrapText="1"/>
    </xf>
    <xf numFmtId="49" fontId="9" fillId="5" borderId="1" xfId="0" applyNumberFormat="1" applyFont="1" applyFill="1" applyBorder="1" applyAlignment="1">
      <alignment horizontal="center" vertical="center" wrapText="1"/>
    </xf>
    <xf numFmtId="166" fontId="16" fillId="5" borderId="1" xfId="0" applyNumberFormat="1" applyFont="1" applyFill="1" applyBorder="1" applyAlignment="1">
      <alignment horizontal="center" vertical="center" wrapText="1"/>
    </xf>
    <xf numFmtId="49" fontId="10" fillId="7" borderId="1" xfId="0" applyNumberFormat="1" applyFont="1" applyFill="1" applyBorder="1" applyAlignment="1">
      <alignment horizontal="center" vertical="center" wrapText="1"/>
    </xf>
    <xf numFmtId="49" fontId="10" fillId="6" borderId="1" xfId="0" applyNumberFormat="1" applyFont="1" applyFill="1" applyBorder="1" applyAlignment="1">
      <alignment horizontal="center" vertical="center" wrapText="1"/>
    </xf>
    <xf numFmtId="49" fontId="8" fillId="8" borderId="1" xfId="0" applyNumberFormat="1" applyFont="1" applyFill="1" applyBorder="1" applyAlignment="1">
      <alignment horizontal="center" vertical="center"/>
    </xf>
    <xf numFmtId="49" fontId="11" fillId="6" borderId="1" xfId="0" applyNumberFormat="1" applyFont="1" applyFill="1" applyBorder="1" applyAlignment="1">
      <alignment horizontal="center" vertical="center"/>
    </xf>
    <xf numFmtId="0" fontId="28" fillId="6" borderId="1" xfId="0" applyFont="1" applyFill="1" applyBorder="1" applyAlignment="1">
      <alignment horizontal="left" vertical="center" wrapText="1"/>
    </xf>
    <xf numFmtId="0" fontId="49" fillId="8" borderId="1" xfId="0" applyFont="1" applyFill="1" applyBorder="1" applyAlignment="1">
      <alignment vertical="top" wrapText="1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166" fontId="10" fillId="2" borderId="0" xfId="0" applyNumberFormat="1" applyFont="1" applyFill="1" applyAlignment="1">
      <alignment horizontal="right"/>
    </xf>
    <xf numFmtId="0" fontId="8" fillId="0" borderId="0" xfId="0" applyFont="1" applyAlignment="1">
      <alignment horizontal="right" wrapText="1"/>
    </xf>
    <xf numFmtId="0" fontId="8" fillId="0" borderId="1" xfId="0" applyFont="1" applyBorder="1" applyAlignment="1">
      <alignment horizontal="center" vertical="center"/>
    </xf>
    <xf numFmtId="0" fontId="28" fillId="8" borderId="1" xfId="0" applyFont="1" applyFill="1" applyBorder="1" applyAlignment="1">
      <alignment horizontal="center" vertical="center"/>
    </xf>
    <xf numFmtId="0" fontId="29" fillId="8" borderId="1" xfId="0" applyFont="1" applyFill="1" applyBorder="1" applyAlignment="1">
      <alignment horizontal="center" vertical="center" wrapText="1"/>
    </xf>
    <xf numFmtId="49" fontId="18" fillId="7" borderId="1" xfId="0" applyNumberFormat="1" applyFont="1" applyFill="1" applyBorder="1" applyAlignment="1">
      <alignment horizontal="center" vertical="center"/>
    </xf>
    <xf numFmtId="49" fontId="18" fillId="8" borderId="1" xfId="0" applyNumberFormat="1" applyFont="1" applyFill="1" applyBorder="1" applyAlignment="1">
      <alignment horizontal="center" vertical="center"/>
    </xf>
    <xf numFmtId="0" fontId="56" fillId="8" borderId="1" xfId="0" applyFont="1" applyFill="1" applyBorder="1" applyAlignment="1">
      <alignment vertical="top" wrapText="1"/>
    </xf>
    <xf numFmtId="49" fontId="18" fillId="1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49" fontId="8" fillId="11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 wrapText="1"/>
    </xf>
    <xf numFmtId="0" fontId="19" fillId="10" borderId="1" xfId="0" applyFont="1" applyFill="1" applyBorder="1" applyAlignment="1">
      <alignment horizontal="left" vertical="center" wrapText="1"/>
    </xf>
    <xf numFmtId="166" fontId="18" fillId="10" borderId="1" xfId="0" applyNumberFormat="1" applyFont="1" applyFill="1" applyBorder="1" applyAlignment="1">
      <alignment horizontal="center" vertical="center"/>
    </xf>
    <xf numFmtId="0" fontId="43" fillId="10" borderId="1" xfId="0" applyFont="1" applyFill="1" applyBorder="1" applyAlignment="1">
      <alignment horizontal="left" vertical="center" wrapText="1"/>
    </xf>
    <xf numFmtId="169" fontId="10" fillId="2" borderId="1" xfId="0" applyNumberFormat="1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center" vertical="center" wrapText="1"/>
    </xf>
    <xf numFmtId="166" fontId="32" fillId="2" borderId="1" xfId="0" applyNumberFormat="1" applyFont="1" applyFill="1" applyBorder="1" applyAlignment="1">
      <alignment horizontal="center" vertical="center" wrapText="1"/>
    </xf>
    <xf numFmtId="0" fontId="8" fillId="8" borderId="0" xfId="0" applyFont="1" applyFill="1" applyAlignment="1">
      <alignment wrapText="1"/>
    </xf>
    <xf numFmtId="0" fontId="9" fillId="8" borderId="1" xfId="0" applyFont="1" applyFill="1" applyBorder="1" applyAlignment="1">
      <alignment horizontal="center" vertical="center"/>
    </xf>
    <xf numFmtId="0" fontId="19" fillId="8" borderId="1" xfId="0" applyFont="1" applyFill="1" applyBorder="1" applyAlignment="1">
      <alignment horizontal="center" vertical="center"/>
    </xf>
    <xf numFmtId="49" fontId="10" fillId="10" borderId="1" xfId="0" applyNumberFormat="1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/>
    </xf>
    <xf numFmtId="0" fontId="58" fillId="0" borderId="1" xfId="0" applyFont="1" applyBorder="1"/>
    <xf numFmtId="0" fontId="10" fillId="0" borderId="1" xfId="0" applyFont="1" applyFill="1" applyBorder="1" applyAlignment="1">
      <alignment horizontal="left" wrapText="1"/>
    </xf>
    <xf numFmtId="49" fontId="29" fillId="5" borderId="1" xfId="0" applyNumberFormat="1" applyFont="1" applyFill="1" applyBorder="1" applyAlignment="1">
      <alignment horizontal="center" vertical="center"/>
    </xf>
    <xf numFmtId="49" fontId="11" fillId="5" borderId="1" xfId="0" applyNumberFormat="1" applyFont="1" applyFill="1" applyBorder="1" applyAlignment="1">
      <alignment horizontal="center" vertical="center" wrapText="1"/>
    </xf>
    <xf numFmtId="166" fontId="29" fillId="5" borderId="1" xfId="0" applyNumberFormat="1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left" vertical="center" wrapText="1"/>
    </xf>
    <xf numFmtId="49" fontId="37" fillId="0" borderId="1" xfId="0" applyNumberFormat="1" applyFont="1" applyFill="1" applyBorder="1" applyAlignment="1">
      <alignment horizontal="center" vertical="top" wrapText="1"/>
    </xf>
    <xf numFmtId="49" fontId="39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169" fontId="40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Border="1"/>
    <xf numFmtId="0" fontId="9" fillId="0" borderId="1" xfId="0" applyFont="1" applyBorder="1"/>
    <xf numFmtId="166" fontId="8" fillId="8" borderId="1" xfId="0" applyNumberFormat="1" applyFont="1" applyFill="1" applyBorder="1" applyAlignment="1">
      <alignment horizontal="center" vertical="center" wrapText="1"/>
    </xf>
    <xf numFmtId="166" fontId="8" fillId="8" borderId="1" xfId="2" applyNumberFormat="1" applyFont="1" applyFill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169" fontId="9" fillId="0" borderId="1" xfId="0" applyNumberFormat="1" applyFont="1" applyBorder="1"/>
    <xf numFmtId="169" fontId="8" fillId="0" borderId="1" xfId="0" applyNumberFormat="1" applyFont="1" applyBorder="1"/>
    <xf numFmtId="0" fontId="19" fillId="12" borderId="1" xfId="0" applyFont="1" applyFill="1" applyBorder="1" applyAlignment="1">
      <alignment horizontal="left" vertical="center" wrapText="1"/>
    </xf>
    <xf numFmtId="0" fontId="8" fillId="12" borderId="1" xfId="0" applyFont="1" applyFill="1" applyBorder="1" applyAlignment="1">
      <alignment horizontal="center" vertical="center"/>
    </xf>
    <xf numFmtId="49" fontId="8" fillId="12" borderId="1" xfId="0" applyNumberFormat="1" applyFont="1" applyFill="1" applyBorder="1" applyAlignment="1">
      <alignment horizontal="center" vertical="center"/>
    </xf>
    <xf numFmtId="166" fontId="8" fillId="12" borderId="1" xfId="0" applyNumberFormat="1" applyFont="1" applyFill="1" applyBorder="1" applyAlignment="1">
      <alignment horizontal="center" vertical="center"/>
    </xf>
    <xf numFmtId="0" fontId="32" fillId="7" borderId="1" xfId="0" applyFont="1" applyFill="1" applyBorder="1" applyAlignment="1">
      <alignment horizontal="left" vertical="center" wrapText="1"/>
    </xf>
    <xf numFmtId="169" fontId="9" fillId="2" borderId="0" xfId="0" applyNumberFormat="1" applyFont="1" applyFill="1"/>
    <xf numFmtId="169" fontId="8" fillId="0" borderId="0" xfId="0" applyNumberFormat="1" applyFont="1" applyFill="1"/>
    <xf numFmtId="0" fontId="8" fillId="8" borderId="1" xfId="0" applyFont="1" applyFill="1" applyBorder="1" applyAlignment="1">
      <alignment horizontal="center" vertical="center"/>
    </xf>
    <xf numFmtId="169" fontId="0" fillId="0" borderId="0" xfId="0" applyNumberFormat="1"/>
    <xf numFmtId="0" fontId="29" fillId="10" borderId="1" xfId="0" applyFont="1" applyFill="1" applyBorder="1" applyAlignment="1">
      <alignment horizontal="left" vertical="center" wrapText="1"/>
    </xf>
    <xf numFmtId="0" fontId="11" fillId="7" borderId="1" xfId="0" applyFont="1" applyFill="1" applyBorder="1" applyAlignment="1">
      <alignment horizontal="left" vertical="center" wrapText="1"/>
    </xf>
    <xf numFmtId="49" fontId="11" fillId="7" borderId="1" xfId="0" applyNumberFormat="1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left" vertical="center" wrapText="1"/>
    </xf>
    <xf numFmtId="165" fontId="9" fillId="0" borderId="0" xfId="0" applyNumberFormat="1" applyFont="1" applyAlignment="1">
      <alignment horizontal="right"/>
    </xf>
    <xf numFmtId="0" fontId="9" fillId="0" borderId="0" xfId="0" applyFont="1" applyBorder="1" applyAlignment="1">
      <alignment horizontal="center" wrapText="1"/>
    </xf>
    <xf numFmtId="4" fontId="8" fillId="0" borderId="0" xfId="0" applyNumberFormat="1" applyFont="1"/>
    <xf numFmtId="0" fontId="7" fillId="0" borderId="1" xfId="0" applyFont="1" applyBorder="1"/>
    <xf numFmtId="165" fontId="7" fillId="0" borderId="1" xfId="0" applyNumberFormat="1" applyFont="1" applyBorder="1"/>
    <xf numFmtId="0" fontId="9" fillId="0" borderId="12" xfId="0" applyFont="1" applyBorder="1" applyAlignment="1">
      <alignment horizontal="center" wrapText="1"/>
    </xf>
    <xf numFmtId="165" fontId="8" fillId="0" borderId="0" xfId="0" applyNumberFormat="1" applyFont="1" applyBorder="1" applyAlignment="1">
      <alignment horizontal="right"/>
    </xf>
    <xf numFmtId="165" fontId="7" fillId="0" borderId="1" xfId="0" applyNumberFormat="1" applyFont="1" applyBorder="1" applyAlignment="1">
      <alignment horizontal="center" vertical="center"/>
    </xf>
    <xf numFmtId="0" fontId="10" fillId="0" borderId="1" xfId="9" applyFont="1" applyFill="1" applyBorder="1" applyAlignment="1">
      <alignment vertical="top" wrapText="1"/>
    </xf>
    <xf numFmtId="0" fontId="9" fillId="0" borderId="1" xfId="0" applyFont="1" applyBorder="1" applyAlignment="1">
      <alignment horizontal="center" wrapText="1"/>
    </xf>
    <xf numFmtId="0" fontId="46" fillId="0" borderId="1" xfId="0" applyFont="1" applyBorder="1" applyAlignment="1">
      <alignment wrapText="1"/>
    </xf>
    <xf numFmtId="0" fontId="48" fillId="0" borderId="1" xfId="0" applyFont="1" applyBorder="1" applyAlignment="1">
      <alignment wrapText="1"/>
    </xf>
    <xf numFmtId="0" fontId="62" fillId="5" borderId="1" xfId="0" applyFont="1" applyFill="1" applyBorder="1" applyAlignment="1">
      <alignment wrapText="1"/>
    </xf>
    <xf numFmtId="49" fontId="10" fillId="5" borderId="1" xfId="0" applyNumberFormat="1" applyFont="1" applyFill="1" applyBorder="1" applyAlignment="1">
      <alignment horizontal="center" vertical="center"/>
    </xf>
    <xf numFmtId="166" fontId="8" fillId="0" borderId="4" xfId="0" applyNumberFormat="1" applyFont="1" applyBorder="1" applyAlignment="1">
      <alignment horizontal="center" vertical="center"/>
    </xf>
    <xf numFmtId="166" fontId="9" fillId="8" borderId="0" xfId="0" applyNumberFormat="1" applyFont="1" applyFill="1" applyBorder="1" applyAlignment="1">
      <alignment horizontal="center" vertical="center"/>
    </xf>
    <xf numFmtId="166" fontId="8" fillId="8" borderId="0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/>
    </xf>
    <xf numFmtId="0" fontId="39" fillId="0" borderId="3" xfId="0" applyFont="1" applyFill="1" applyBorder="1" applyAlignment="1">
      <alignment vertical="center" wrapText="1"/>
    </xf>
    <xf numFmtId="0" fontId="37" fillId="0" borderId="1" xfId="0" applyFont="1" applyFill="1" applyBorder="1" applyAlignment="1">
      <alignment horizontal="center" vertical="center"/>
    </xf>
    <xf numFmtId="0" fontId="36" fillId="0" borderId="1" xfId="0" applyFont="1" applyBorder="1" applyAlignment="1">
      <alignment vertical="center"/>
    </xf>
    <xf numFmtId="166" fontId="8" fillId="0" borderId="3" xfId="0" applyNumberFormat="1" applyFont="1" applyBorder="1" applyAlignment="1">
      <alignment horizontal="center" vertical="center"/>
    </xf>
    <xf numFmtId="0" fontId="8" fillId="5" borderId="1" xfId="0" applyFont="1" applyFill="1" applyBorder="1" applyAlignment="1">
      <alignment horizontal="center"/>
    </xf>
    <xf numFmtId="166" fontId="10" fillId="0" borderId="0" xfId="0" applyNumberFormat="1" applyFont="1" applyFill="1" applyBorder="1" applyAlignment="1">
      <alignment horizontal="center" vertical="top" wrapText="1"/>
    </xf>
    <xf numFmtId="166" fontId="11" fillId="5" borderId="0" xfId="0" applyNumberFormat="1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/>
    </xf>
    <xf numFmtId="171" fontId="49" fillId="0" borderId="1" xfId="0" applyNumberFormat="1" applyFont="1" applyBorder="1"/>
    <xf numFmtId="0" fontId="0" fillId="0" borderId="0" xfId="0" applyBorder="1"/>
    <xf numFmtId="0" fontId="0" fillId="0" borderId="0" xfId="0" applyBorder="1" applyAlignment="1">
      <alignment vertical="top"/>
    </xf>
    <xf numFmtId="0" fontId="10" fillId="7" borderId="1" xfId="0" applyFont="1" applyFill="1" applyBorder="1" applyAlignment="1">
      <alignment horizontal="center" vertical="center" wrapText="1"/>
    </xf>
    <xf numFmtId="49" fontId="11" fillId="9" borderId="1" xfId="0" applyNumberFormat="1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left" vertical="center" wrapText="1"/>
    </xf>
    <xf numFmtId="0" fontId="11" fillId="9" borderId="1" xfId="0" applyFont="1" applyFill="1" applyBorder="1" applyAlignment="1">
      <alignment horizontal="left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58" fillId="0" borderId="1" xfId="0" applyFont="1" applyBorder="1" applyAlignment="1">
      <alignment wrapText="1"/>
    </xf>
    <xf numFmtId="49" fontId="10" fillId="9" borderId="1" xfId="0" applyNumberFormat="1" applyFont="1" applyFill="1" applyBorder="1" applyAlignment="1">
      <alignment horizontal="center" vertical="center"/>
    </xf>
    <xf numFmtId="166" fontId="10" fillId="9" borderId="1" xfId="0" applyNumberFormat="1" applyFont="1" applyFill="1" applyBorder="1" applyAlignment="1">
      <alignment horizontal="center" vertical="center"/>
    </xf>
    <xf numFmtId="0" fontId="29" fillId="9" borderId="1" xfId="0" applyFont="1" applyFill="1" applyBorder="1" applyAlignment="1">
      <alignment horizontal="left" vertical="center" wrapText="1"/>
    </xf>
    <xf numFmtId="49" fontId="29" fillId="9" borderId="1" xfId="0" applyNumberFormat="1" applyFont="1" applyFill="1" applyBorder="1" applyAlignment="1">
      <alignment horizontal="center" vertical="center"/>
    </xf>
    <xf numFmtId="166" fontId="29" fillId="9" borderId="1" xfId="0" applyNumberFormat="1" applyFont="1" applyFill="1" applyBorder="1" applyAlignment="1">
      <alignment horizontal="center" vertical="center"/>
    </xf>
    <xf numFmtId="49" fontId="18" fillId="9" borderId="1" xfId="0" applyNumberFormat="1" applyFont="1" applyFill="1" applyBorder="1" applyAlignment="1">
      <alignment horizontal="center" vertical="center"/>
    </xf>
    <xf numFmtId="166" fontId="8" fillId="9" borderId="1" xfId="0" applyNumberFormat="1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wrapText="1"/>
    </xf>
    <xf numFmtId="49" fontId="8" fillId="0" borderId="3" xfId="0" applyNumberFormat="1" applyFont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8" fillId="0" borderId="1" xfId="4" applyNumberFormat="1" applyFont="1" applyBorder="1" applyAlignment="1">
      <alignment wrapText="1"/>
    </xf>
    <xf numFmtId="0" fontId="10" fillId="6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horizontal="center" vertical="center"/>
    </xf>
    <xf numFmtId="49" fontId="8" fillId="7" borderId="1" xfId="0" applyNumberFormat="1" applyFont="1" applyFill="1" applyBorder="1" applyAlignment="1">
      <alignment horizontal="center" vertical="center"/>
    </xf>
    <xf numFmtId="49" fontId="9" fillId="7" borderId="1" xfId="0" applyNumberFormat="1" applyFont="1" applyFill="1" applyBorder="1" applyAlignment="1">
      <alignment horizontal="center" vertical="center"/>
    </xf>
    <xf numFmtId="49" fontId="17" fillId="7" borderId="1" xfId="0" applyNumberFormat="1" applyFont="1" applyFill="1" applyBorder="1" applyAlignment="1">
      <alignment horizontal="center" vertical="center"/>
    </xf>
    <xf numFmtId="166" fontId="9" fillId="7" borderId="1" xfId="0" applyNumberFormat="1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left" vertical="center" wrapText="1"/>
    </xf>
    <xf numFmtId="49" fontId="11" fillId="6" borderId="1" xfId="0" applyNumberFormat="1" applyFont="1" applyFill="1" applyBorder="1" applyAlignment="1">
      <alignment horizontal="center" vertical="center" wrapText="1"/>
    </xf>
    <xf numFmtId="0" fontId="63" fillId="6" borderId="1" xfId="0" applyFont="1" applyFill="1" applyBorder="1" applyAlignment="1">
      <alignment wrapText="1"/>
    </xf>
    <xf numFmtId="0" fontId="11" fillId="6" borderId="1" xfId="0" applyFont="1" applyFill="1" applyBorder="1" applyAlignment="1">
      <alignment horizontal="center"/>
    </xf>
    <xf numFmtId="166" fontId="11" fillId="6" borderId="1" xfId="0" applyNumberFormat="1" applyFont="1" applyFill="1" applyBorder="1" applyAlignment="1">
      <alignment horizontal="center"/>
    </xf>
    <xf numFmtId="0" fontId="37" fillId="0" borderId="1" xfId="11" applyFont="1" applyFill="1" applyBorder="1" applyAlignment="1">
      <alignment horizontal="center" vertical="top" wrapText="1"/>
    </xf>
    <xf numFmtId="0" fontId="37" fillId="0" borderId="1" xfId="11" applyFont="1" applyFill="1" applyBorder="1" applyAlignment="1">
      <alignment horizontal="left" vertical="top" wrapText="1"/>
    </xf>
    <xf numFmtId="49" fontId="39" fillId="0" borderId="1" xfId="11" applyNumberFormat="1" applyFont="1" applyFill="1" applyBorder="1" applyAlignment="1">
      <alignment horizontal="center" vertical="center"/>
    </xf>
    <xf numFmtId="49" fontId="39" fillId="0" borderId="1" xfId="11" applyNumberFormat="1" applyFont="1" applyFill="1" applyBorder="1" applyAlignment="1">
      <alignment horizontal="center" vertical="top"/>
    </xf>
    <xf numFmtId="49" fontId="39" fillId="0" borderId="1" xfId="8" applyNumberFormat="1" applyFont="1" applyFill="1" applyBorder="1" applyAlignment="1">
      <alignment horizontal="center" vertical="top"/>
    </xf>
    <xf numFmtId="49" fontId="39" fillId="0" borderId="4" xfId="11" applyNumberFormat="1" applyFont="1" applyFill="1" applyBorder="1" applyAlignment="1">
      <alignment horizontal="center" vertical="center"/>
    </xf>
    <xf numFmtId="4" fontId="39" fillId="0" borderId="10" xfId="11" applyNumberFormat="1" applyFont="1" applyFill="1" applyBorder="1" applyAlignment="1">
      <alignment vertical="top" wrapText="1"/>
    </xf>
    <xf numFmtId="4" fontId="39" fillId="0" borderId="10" xfId="11" applyNumberFormat="1" applyFont="1" applyFill="1" applyBorder="1" applyAlignment="1">
      <alignment horizontal="left" vertical="top" wrapText="1"/>
    </xf>
    <xf numFmtId="0" fontId="8" fillId="0" borderId="10" xfId="11" applyNumberFormat="1" applyFont="1" applyBorder="1" applyAlignment="1">
      <alignment horizontal="left" vertical="top" wrapText="1"/>
    </xf>
    <xf numFmtId="0" fontId="39" fillId="0" borderId="10" xfId="11" quotePrefix="1" applyFont="1" applyFill="1" applyBorder="1" applyAlignment="1">
      <alignment horizontal="left" vertical="top" wrapText="1"/>
    </xf>
    <xf numFmtId="0" fontId="27" fillId="8" borderId="1" xfId="0" applyFont="1" applyFill="1" applyBorder="1" applyAlignment="1">
      <alignment horizontal="left" vertical="center" wrapText="1"/>
    </xf>
    <xf numFmtId="166" fontId="10" fillId="8" borderId="7" xfId="0" applyNumberFormat="1" applyFont="1" applyFill="1" applyBorder="1" applyAlignment="1">
      <alignment horizontal="center" vertical="center"/>
    </xf>
    <xf numFmtId="169" fontId="8" fillId="0" borderId="0" xfId="0" applyNumberFormat="1" applyFont="1" applyBorder="1"/>
    <xf numFmtId="0" fontId="10" fillId="0" borderId="0" xfId="0" applyFont="1" applyFill="1" applyAlignment="1">
      <alignment horizontal="right"/>
    </xf>
    <xf numFmtId="0" fontId="10" fillId="8" borderId="1" xfId="0" applyFont="1" applyFill="1" applyBorder="1" applyAlignment="1">
      <alignment horizontal="justify" vertical="top" wrapText="1"/>
    </xf>
    <xf numFmtId="0" fontId="10" fillId="8" borderId="1" xfId="0" applyFont="1" applyFill="1" applyBorder="1" applyAlignment="1">
      <alignment horizontal="left" vertical="top" wrapText="1"/>
    </xf>
    <xf numFmtId="0" fontId="10" fillId="8" borderId="1" xfId="9" applyFont="1" applyFill="1" applyBorder="1" applyAlignment="1">
      <alignment vertical="top" wrapText="1"/>
    </xf>
    <xf numFmtId="0" fontId="12" fillId="0" borderId="3" xfId="0" applyFont="1" applyBorder="1"/>
    <xf numFmtId="0" fontId="8" fillId="0" borderId="3" xfId="0" applyFont="1" applyBorder="1" applyAlignment="1">
      <alignment horizontal="left" vertical="center" wrapText="1"/>
    </xf>
    <xf numFmtId="166" fontId="8" fillId="0" borderId="3" xfId="0" applyNumberFormat="1" applyFont="1" applyBorder="1" applyAlignment="1">
      <alignment horizontal="center"/>
    </xf>
    <xf numFmtId="166" fontId="8" fillId="0" borderId="1" xfId="0" applyNumberFormat="1" applyFont="1" applyBorder="1" applyAlignment="1">
      <alignment horizontal="center"/>
    </xf>
    <xf numFmtId="166" fontId="21" fillId="0" borderId="1" xfId="0" applyNumberFormat="1" applyFont="1" applyBorder="1" applyAlignment="1">
      <alignment horizontal="center" vertical="center"/>
    </xf>
    <xf numFmtId="166" fontId="8" fillId="6" borderId="1" xfId="0" applyNumberFormat="1" applyFont="1" applyFill="1" applyBorder="1" applyAlignment="1">
      <alignment horizontal="center" vertical="center"/>
    </xf>
    <xf numFmtId="166" fontId="8" fillId="13" borderId="1" xfId="0" applyNumberFormat="1" applyFont="1" applyFill="1" applyBorder="1" applyAlignment="1">
      <alignment horizontal="center" vertical="center"/>
    </xf>
    <xf numFmtId="173" fontId="8" fillId="0" borderId="1" xfId="0" applyNumberFormat="1" applyFont="1" applyBorder="1" applyAlignment="1"/>
    <xf numFmtId="166" fontId="32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30" fillId="7" borderId="1" xfId="0" applyFont="1" applyFill="1" applyBorder="1" applyAlignment="1">
      <alignment horizontal="left" vertical="center" wrapText="1"/>
    </xf>
    <xf numFmtId="169" fontId="8" fillId="0" borderId="1" xfId="0" applyNumberFormat="1" applyFont="1" applyBorder="1" applyAlignment="1">
      <alignment horizontal="center"/>
    </xf>
    <xf numFmtId="49" fontId="49" fillId="6" borderId="1" xfId="0" applyNumberFormat="1" applyFont="1" applyFill="1" applyBorder="1" applyAlignment="1">
      <alignment horizontal="center" vertical="center"/>
    </xf>
    <xf numFmtId="49" fontId="45" fillId="6" borderId="1" xfId="0" applyNumberFormat="1" applyFont="1" applyFill="1" applyBorder="1" applyAlignment="1">
      <alignment horizontal="center" vertical="center"/>
    </xf>
    <xf numFmtId="166" fontId="45" fillId="6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2" fontId="8" fillId="0" borderId="0" xfId="0" applyNumberFormat="1" applyFont="1"/>
    <xf numFmtId="169" fontId="8" fillId="0" borderId="0" xfId="0" applyNumberFormat="1" applyFont="1"/>
    <xf numFmtId="0" fontId="8" fillId="0" borderId="0" xfId="0" applyFont="1" applyAlignment="1">
      <alignment horizontal="right"/>
    </xf>
    <xf numFmtId="0" fontId="10" fillId="0" borderId="0" xfId="0" applyFont="1" applyFill="1" applyAlignment="1">
      <alignment horizontal="right"/>
    </xf>
    <xf numFmtId="166" fontId="10" fillId="2" borderId="0" xfId="0" applyNumberFormat="1" applyFont="1" applyFill="1" applyAlignment="1">
      <alignment horizontal="right"/>
    </xf>
    <xf numFmtId="0" fontId="11" fillId="8" borderId="1" xfId="0" applyFont="1" applyFill="1" applyBorder="1" applyAlignment="1">
      <alignment horizontal="left" vertical="center" wrapText="1"/>
    </xf>
    <xf numFmtId="166" fontId="11" fillId="2" borderId="0" xfId="0" applyNumberFormat="1" applyFont="1" applyFill="1"/>
    <xf numFmtId="0" fontId="8" fillId="0" borderId="1" xfId="0" applyFont="1" applyBorder="1" applyAlignment="1">
      <alignment horizontal="center" vertical="center"/>
    </xf>
    <xf numFmtId="0" fontId="10" fillId="6" borderId="1" xfId="0" applyFont="1" applyFill="1" applyBorder="1" applyAlignment="1">
      <alignment wrapText="1"/>
    </xf>
    <xf numFmtId="49" fontId="11" fillId="6" borderId="1" xfId="0" applyNumberFormat="1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49" fontId="9" fillId="5" borderId="3" xfId="0" applyNumberFormat="1" applyFont="1" applyFill="1" applyBorder="1" applyAlignment="1">
      <alignment horizontal="center" vertical="center"/>
    </xf>
    <xf numFmtId="166" fontId="9" fillId="5" borderId="3" xfId="0" applyNumberFormat="1" applyFont="1" applyFill="1" applyBorder="1" applyAlignment="1">
      <alignment horizontal="center" vertical="center"/>
    </xf>
    <xf numFmtId="49" fontId="9" fillId="5" borderId="1" xfId="0" applyNumberFormat="1" applyFont="1" applyFill="1" applyBorder="1" applyAlignment="1">
      <alignment horizontal="center"/>
    </xf>
    <xf numFmtId="166" fontId="7" fillId="6" borderId="1" xfId="0" applyNumberFormat="1" applyFont="1" applyFill="1" applyBorder="1" applyAlignment="1">
      <alignment horizontal="center" vertical="center"/>
    </xf>
    <xf numFmtId="0" fontId="8" fillId="8" borderId="0" xfId="0" applyFont="1" applyFill="1"/>
    <xf numFmtId="0" fontId="8" fillId="10" borderId="1" xfId="0" applyFont="1" applyFill="1" applyBorder="1" applyAlignment="1">
      <alignment horizontal="center" vertical="center"/>
    </xf>
    <xf numFmtId="166" fontId="49" fillId="0" borderId="1" xfId="0" applyNumberFormat="1" applyFont="1" applyFill="1" applyBorder="1" applyAlignment="1">
      <alignment horizontal="center" vertical="center"/>
    </xf>
    <xf numFmtId="49" fontId="8" fillId="10" borderId="1" xfId="0" applyNumberFormat="1" applyFont="1" applyFill="1" applyBorder="1" applyAlignment="1">
      <alignment horizontal="center" vertical="center" wrapText="1"/>
    </xf>
    <xf numFmtId="166" fontId="9" fillId="10" borderId="1" xfId="0" applyNumberFormat="1" applyFont="1" applyFill="1" applyBorder="1" applyAlignment="1">
      <alignment horizontal="center" vertical="center"/>
    </xf>
    <xf numFmtId="49" fontId="8" fillId="10" borderId="1" xfId="0" applyNumberFormat="1" applyFont="1" applyFill="1" applyBorder="1" applyAlignment="1">
      <alignment horizontal="center"/>
    </xf>
    <xf numFmtId="0" fontId="9" fillId="10" borderId="1" xfId="0" applyFont="1" applyFill="1" applyBorder="1" applyAlignment="1">
      <alignment wrapText="1"/>
    </xf>
    <xf numFmtId="165" fontId="8" fillId="0" borderId="0" xfId="0" applyNumberFormat="1" applyFont="1" applyAlignment="1">
      <alignment horizontal="center"/>
    </xf>
    <xf numFmtId="0" fontId="10" fillId="0" borderId="1" xfId="0" applyFont="1" applyBorder="1" applyAlignment="1">
      <alignment horizontal="center"/>
    </xf>
    <xf numFmtId="0" fontId="56" fillId="8" borderId="17" xfId="0" applyFont="1" applyFill="1" applyBorder="1" applyAlignment="1">
      <alignment horizontal="left" wrapText="1"/>
    </xf>
    <xf numFmtId="0" fontId="8" fillId="0" borderId="1" xfId="0" applyFont="1" applyBorder="1" applyAlignment="1">
      <alignment horizontal="justify"/>
    </xf>
    <xf numFmtId="166" fontId="10" fillId="0" borderId="1" xfId="9" applyNumberFormat="1" applyFont="1" applyFill="1" applyBorder="1" applyAlignment="1">
      <alignment horizontal="center" vertical="top"/>
    </xf>
    <xf numFmtId="0" fontId="8" fillId="0" borderId="1" xfId="0" applyFont="1" applyBorder="1" applyAlignment="1">
      <alignment horizontal="center" vertical="center"/>
    </xf>
    <xf numFmtId="4" fontId="39" fillId="0" borderId="1" xfId="11" applyNumberFormat="1" applyFont="1" applyFill="1" applyBorder="1" applyAlignment="1">
      <alignment horizontal="left" vertical="top" wrapText="1"/>
    </xf>
    <xf numFmtId="0" fontId="60" fillId="0" borderId="1" xfId="11" applyFont="1" applyFill="1" applyBorder="1" applyAlignment="1">
      <alignment horizontal="left" vertical="top" wrapText="1"/>
    </xf>
    <xf numFmtId="4" fontId="39" fillId="0" borderId="1" xfId="11" applyNumberFormat="1" applyFont="1" applyFill="1" applyBorder="1" applyAlignment="1">
      <alignment vertical="top" wrapText="1"/>
    </xf>
    <xf numFmtId="166" fontId="10" fillId="8" borderId="1" xfId="0" applyNumberFormat="1" applyFont="1" applyFill="1" applyBorder="1" applyAlignment="1">
      <alignment horizontal="center"/>
    </xf>
    <xf numFmtId="166" fontId="18" fillId="8" borderId="1" xfId="0" applyNumberFormat="1" applyFont="1" applyFill="1" applyBorder="1" applyAlignment="1">
      <alignment horizontal="center" vertical="center"/>
    </xf>
    <xf numFmtId="0" fontId="30" fillId="8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2" fillId="0" borderId="1" xfId="0" applyNumberFormat="1" applyFont="1" applyBorder="1" applyAlignment="1">
      <alignment horizontal="left" vertical="center" wrapText="1"/>
    </xf>
    <xf numFmtId="0" fontId="19" fillId="0" borderId="1" xfId="0" applyNumberFormat="1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/>
    </xf>
    <xf numFmtId="169" fontId="9" fillId="0" borderId="0" xfId="0" applyNumberFormat="1" applyFont="1" applyBorder="1"/>
    <xf numFmtId="0" fontId="12" fillId="0" borderId="0" xfId="0" applyFont="1" applyAlignment="1">
      <alignment wrapText="1"/>
    </xf>
    <xf numFmtId="0" fontId="49" fillId="8" borderId="1" xfId="0" applyFont="1" applyFill="1" applyBorder="1" applyAlignment="1">
      <alignment horizontal="left" wrapText="1"/>
    </xf>
    <xf numFmtId="0" fontId="8" fillId="0" borderId="1" xfId="0" applyFont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 wrapText="1"/>
    </xf>
    <xf numFmtId="174" fontId="8" fillId="0" borderId="1" xfId="0" applyNumberFormat="1" applyFont="1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1" xfId="0" applyFont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/>
    </xf>
    <xf numFmtId="0" fontId="56" fillId="8" borderId="1" xfId="0" applyFont="1" applyFill="1" applyBorder="1" applyAlignment="1">
      <alignment horizontal="left" wrapText="1"/>
    </xf>
    <xf numFmtId="166" fontId="10" fillId="2" borderId="0" xfId="0" applyNumberFormat="1" applyFont="1" applyFill="1" applyAlignment="1">
      <alignment horizontal="right"/>
    </xf>
    <xf numFmtId="166" fontId="11" fillId="2" borderId="0" xfId="0" applyNumberFormat="1" applyFont="1" applyFill="1" applyBorder="1" applyAlignment="1">
      <alignment horizontal="center" vertical="center" wrapText="1"/>
    </xf>
    <xf numFmtId="166" fontId="26" fillId="2" borderId="0" xfId="0" applyNumberFormat="1" applyFont="1" applyFill="1" applyAlignment="1">
      <alignment horizontal="center" wrapText="1"/>
    </xf>
    <xf numFmtId="0" fontId="10" fillId="0" borderId="0" xfId="0" applyFont="1" applyAlignment="1">
      <alignment horizontal="right"/>
    </xf>
    <xf numFmtId="166" fontId="10" fillId="0" borderId="0" xfId="0" applyNumberFormat="1" applyFont="1" applyFill="1" applyBorder="1" applyAlignment="1">
      <alignment horizontal="center" vertical="center"/>
    </xf>
    <xf numFmtId="0" fontId="10" fillId="0" borderId="1" xfId="0" applyFont="1" applyBorder="1"/>
    <xf numFmtId="0" fontId="10" fillId="8" borderId="1" xfId="0" applyFont="1" applyFill="1" applyBorder="1"/>
    <xf numFmtId="0" fontId="10" fillId="0" borderId="0" xfId="0" applyFont="1" applyAlignment="1"/>
    <xf numFmtId="166" fontId="11" fillId="2" borderId="0" xfId="0" applyNumberFormat="1" applyFont="1" applyFill="1" applyBorder="1" applyAlignment="1">
      <alignment vertical="center" wrapText="1"/>
    </xf>
    <xf numFmtId="166" fontId="11" fillId="2" borderId="1" xfId="0" applyNumberFormat="1" applyFont="1" applyFill="1" applyBorder="1" applyAlignment="1">
      <alignment wrapText="1"/>
    </xf>
    <xf numFmtId="166" fontId="10" fillId="2" borderId="1" xfId="0" applyNumberFormat="1" applyFont="1" applyFill="1" applyBorder="1" applyAlignment="1">
      <alignment horizontal="center" vertical="center" wrapText="1"/>
    </xf>
    <xf numFmtId="166" fontId="29" fillId="8" borderId="1" xfId="0" applyNumberFormat="1" applyFont="1" applyFill="1" applyBorder="1" applyAlignment="1">
      <alignment horizontal="center" vertical="center" wrapText="1"/>
    </xf>
    <xf numFmtId="166" fontId="11" fillId="6" borderId="1" xfId="0" applyNumberFormat="1" applyFont="1" applyFill="1" applyBorder="1" applyAlignment="1">
      <alignment horizontal="center" vertical="center" wrapText="1"/>
    </xf>
    <xf numFmtId="166" fontId="10" fillId="7" borderId="1" xfId="0" applyNumberFormat="1" applyFont="1" applyFill="1" applyBorder="1" applyAlignment="1">
      <alignment horizontal="center" vertical="center" wrapText="1"/>
    </xf>
    <xf numFmtId="166" fontId="10" fillId="0" borderId="1" xfId="0" applyNumberFormat="1" applyFont="1" applyFill="1" applyBorder="1" applyAlignment="1">
      <alignment horizontal="center" vertical="center" wrapText="1"/>
    </xf>
    <xf numFmtId="166" fontId="47" fillId="0" borderId="1" xfId="0" applyNumberFormat="1" applyFont="1" applyFill="1" applyBorder="1" applyAlignment="1">
      <alignment horizontal="center" vertical="center"/>
    </xf>
    <xf numFmtId="166" fontId="10" fillId="2" borderId="0" xfId="0" applyNumberFormat="1" applyFont="1" applyFill="1" applyBorder="1" applyAlignment="1">
      <alignment wrapText="1"/>
    </xf>
    <xf numFmtId="166" fontId="10" fillId="2" borderId="3" xfId="0" applyNumberFormat="1" applyFont="1" applyFill="1" applyBorder="1" applyAlignment="1">
      <alignment wrapText="1"/>
    </xf>
    <xf numFmtId="0" fontId="37" fillId="0" borderId="1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right"/>
    </xf>
    <xf numFmtId="0" fontId="37" fillId="0" borderId="4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/>
    </xf>
    <xf numFmtId="0" fontId="39" fillId="0" borderId="6" xfId="0" applyFont="1" applyFill="1" applyBorder="1" applyAlignment="1">
      <alignment horizontal="center" vertical="center" wrapText="1"/>
    </xf>
    <xf numFmtId="0" fontId="39" fillId="0" borderId="3" xfId="0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top" wrapText="1"/>
    </xf>
    <xf numFmtId="166" fontId="61" fillId="0" borderId="1" xfId="17" applyNumberFormat="1" applyFont="1" applyFill="1" applyBorder="1" applyAlignment="1">
      <alignment horizontal="center" vertical="center"/>
    </xf>
    <xf numFmtId="166" fontId="61" fillId="0" borderId="1" xfId="17" applyNumberFormat="1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39" fillId="0" borderId="1" xfId="0" applyFont="1" applyFill="1" applyBorder="1" applyAlignment="1">
      <alignment horizontal="center" vertical="center" wrapText="1"/>
    </xf>
    <xf numFmtId="0" fontId="39" fillId="0" borderId="1" xfId="0" applyFont="1" applyBorder="1" applyAlignment="1">
      <alignment vertical="top" wrapText="1"/>
    </xf>
    <xf numFmtId="0" fontId="38" fillId="0" borderId="1" xfId="0" applyFont="1" applyBorder="1"/>
    <xf numFmtId="0" fontId="39" fillId="0" borderId="1" xfId="0" applyFont="1" applyBorder="1" applyAlignment="1">
      <alignment horizontal="center" vertical="top" wrapText="1"/>
    </xf>
    <xf numFmtId="0" fontId="37" fillId="0" borderId="1" xfId="0" applyFont="1" applyBorder="1" applyAlignment="1">
      <alignment horizontal="center"/>
    </xf>
    <xf numFmtId="0" fontId="8" fillId="0" borderId="1" xfId="11" applyNumberFormat="1" applyFont="1" applyBorder="1" applyAlignment="1">
      <alignment horizontal="left" vertical="top" wrapText="1"/>
    </xf>
    <xf numFmtId="0" fontId="39" fillId="0" borderId="1" xfId="11" quotePrefix="1" applyFont="1" applyFill="1" applyBorder="1" applyAlignment="1">
      <alignment horizontal="left" vertical="top" wrapText="1"/>
    </xf>
    <xf numFmtId="169" fontId="39" fillId="0" borderId="1" xfId="0" applyNumberFormat="1" applyFont="1" applyBorder="1" applyAlignment="1">
      <alignment horizontal="center"/>
    </xf>
    <xf numFmtId="169" fontId="8" fillId="0" borderId="1" xfId="0" applyNumberFormat="1" applyFont="1" applyBorder="1" applyAlignment="1">
      <alignment horizontal="center" wrapText="1"/>
    </xf>
    <xf numFmtId="0" fontId="8" fillId="0" borderId="0" xfId="0" applyFont="1" applyAlignment="1">
      <alignment horizontal="right"/>
    </xf>
    <xf numFmtId="169" fontId="36" fillId="0" borderId="1" xfId="0" applyNumberFormat="1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10" fillId="0" borderId="0" xfId="0" applyFont="1" applyFill="1" applyAlignment="1">
      <alignment horizontal="right"/>
    </xf>
    <xf numFmtId="166" fontId="10" fillId="2" borderId="0" xfId="0" applyNumberFormat="1" applyFont="1" applyFill="1" applyAlignment="1">
      <alignment horizontal="right"/>
    </xf>
    <xf numFmtId="166" fontId="19" fillId="5" borderId="1" xfId="0" applyNumberFormat="1" applyFont="1" applyFill="1" applyBorder="1" applyAlignment="1">
      <alignment horizontal="center" vertical="center" wrapText="1"/>
    </xf>
    <xf numFmtId="166" fontId="8" fillId="5" borderId="1" xfId="0" applyNumberFormat="1" applyFont="1" applyFill="1" applyBorder="1" applyAlignment="1">
      <alignment horizontal="center"/>
    </xf>
    <xf numFmtId="0" fontId="10" fillId="9" borderId="1" xfId="0" applyFont="1" applyFill="1" applyBorder="1" applyAlignment="1">
      <alignment horizontal="left" vertical="center" wrapText="1"/>
    </xf>
    <xf numFmtId="166" fontId="9" fillId="9" borderId="1" xfId="0" applyNumberFormat="1" applyFont="1" applyFill="1" applyBorder="1" applyAlignment="1">
      <alignment horizontal="center"/>
    </xf>
    <xf numFmtId="166" fontId="9" fillId="0" borderId="1" xfId="0" applyNumberFormat="1" applyFont="1" applyBorder="1"/>
    <xf numFmtId="166" fontId="9" fillId="5" borderId="1" xfId="0" applyNumberFormat="1" applyFont="1" applyFill="1" applyBorder="1" applyAlignment="1">
      <alignment horizontal="center"/>
    </xf>
    <xf numFmtId="166" fontId="8" fillId="5" borderId="4" xfId="0" applyNumberFormat="1" applyFont="1" applyFill="1" applyBorder="1" applyAlignment="1">
      <alignment horizontal="center" vertical="center"/>
    </xf>
    <xf numFmtId="166" fontId="8" fillId="5" borderId="0" xfId="0" applyNumberFormat="1" applyFont="1" applyFill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/>
    </xf>
    <xf numFmtId="0" fontId="8" fillId="8" borderId="3" xfId="0" applyFont="1" applyFill="1" applyBorder="1" applyAlignment="1">
      <alignment horizontal="center" vertical="center" wrapText="1"/>
    </xf>
    <xf numFmtId="0" fontId="22" fillId="8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right" wrapText="1"/>
    </xf>
    <xf numFmtId="0" fontId="8" fillId="0" borderId="10" xfId="0" applyFont="1" applyBorder="1"/>
    <xf numFmtId="169" fontId="8" fillId="0" borderId="10" xfId="0" applyNumberFormat="1" applyFont="1" applyBorder="1"/>
    <xf numFmtId="169" fontId="8" fillId="0" borderId="0" xfId="0" applyNumberFormat="1" applyFont="1" applyBorder="1" applyAlignment="1">
      <alignment horizontal="right" vertical="center" wrapText="1"/>
    </xf>
    <xf numFmtId="0" fontId="24" fillId="0" borderId="1" xfId="0" applyFont="1" applyBorder="1" applyAlignment="1">
      <alignment horizontal="center"/>
    </xf>
    <xf numFmtId="166" fontId="10" fillId="2" borderId="0" xfId="0" applyNumberFormat="1" applyFont="1" applyFill="1" applyAlignment="1">
      <alignment horizontal="right"/>
    </xf>
    <xf numFmtId="166" fontId="10" fillId="0" borderId="0" xfId="0" applyNumberFormat="1" applyFont="1" applyFill="1" applyBorder="1" applyAlignment="1">
      <alignment horizontal="center" vertical="top"/>
    </xf>
    <xf numFmtId="166" fontId="10" fillId="5" borderId="0" xfId="0" applyNumberFormat="1" applyFont="1" applyFill="1" applyBorder="1" applyAlignment="1">
      <alignment horizontal="center" vertical="top" wrapText="1"/>
    </xf>
    <xf numFmtId="166" fontId="10" fillId="5" borderId="1" xfId="0" applyNumberFormat="1" applyFont="1" applyFill="1" applyBorder="1" applyAlignment="1">
      <alignment horizontal="center" vertical="top"/>
    </xf>
    <xf numFmtId="0" fontId="64" fillId="0" borderId="1" xfId="0" applyFont="1" applyBorder="1" applyAlignment="1">
      <alignment horizontal="center" vertical="top"/>
    </xf>
    <xf numFmtId="166" fontId="10" fillId="5" borderId="1" xfId="9" applyNumberFormat="1" applyFont="1" applyFill="1" applyBorder="1" applyAlignment="1">
      <alignment horizontal="center" vertical="top"/>
    </xf>
    <xf numFmtId="166" fontId="32" fillId="5" borderId="1" xfId="0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166" fontId="0" fillId="0" borderId="1" xfId="0" applyNumberFormat="1" applyBorder="1" applyAlignment="1">
      <alignment horizontal="center" vertical="top"/>
    </xf>
    <xf numFmtId="169" fontId="38" fillId="0" borderId="0" xfId="0" applyNumberFormat="1" applyFont="1"/>
    <xf numFmtId="0" fontId="10" fillId="0" borderId="0" xfId="0" applyFont="1" applyFill="1" applyAlignment="1">
      <alignment horizontal="right"/>
    </xf>
    <xf numFmtId="0" fontId="8" fillId="0" borderId="1" xfId="0" applyFont="1" applyBorder="1" applyAlignment="1">
      <alignment horizontal="center" vertical="center"/>
    </xf>
    <xf numFmtId="165" fontId="65" fillId="0" borderId="1" xfId="0" applyNumberFormat="1" applyFont="1" applyBorder="1"/>
    <xf numFmtId="171" fontId="65" fillId="0" borderId="1" xfId="0" applyNumberFormat="1" applyFont="1" applyBorder="1"/>
    <xf numFmtId="0" fontId="63" fillId="0" borderId="1" xfId="0" applyFont="1" applyBorder="1"/>
    <xf numFmtId="0" fontId="48" fillId="0" borderId="0" xfId="0" applyFont="1" applyAlignment="1">
      <alignment wrapText="1"/>
    </xf>
    <xf numFmtId="0" fontId="46" fillId="0" borderId="0" xfId="0" applyFont="1" applyAlignment="1">
      <alignment wrapText="1"/>
    </xf>
    <xf numFmtId="49" fontId="10" fillId="2" borderId="10" xfId="0" applyNumberFormat="1" applyFont="1" applyFill="1" applyBorder="1" applyAlignment="1">
      <alignment horizontal="center" vertical="center"/>
    </xf>
    <xf numFmtId="49" fontId="10" fillId="0" borderId="7" xfId="0" applyNumberFormat="1" applyFont="1" applyFill="1" applyBorder="1" applyAlignment="1">
      <alignment horizontal="center" vertical="center"/>
    </xf>
    <xf numFmtId="0" fontId="46" fillId="0" borderId="1" xfId="0" applyFont="1" applyBorder="1"/>
    <xf numFmtId="49" fontId="10" fillId="6" borderId="10" xfId="0" applyNumberFormat="1" applyFont="1" applyFill="1" applyBorder="1" applyAlignment="1">
      <alignment horizontal="center" vertical="center"/>
    </xf>
    <xf numFmtId="49" fontId="10" fillId="6" borderId="7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center" vertical="center"/>
    </xf>
    <xf numFmtId="49" fontId="8" fillId="5" borderId="1" xfId="0" applyNumberFormat="1" applyFont="1" applyFill="1" applyBorder="1" applyAlignment="1">
      <alignment horizontal="center" vertical="center" wrapText="1"/>
    </xf>
    <xf numFmtId="49" fontId="8" fillId="5" borderId="10" xfId="0" applyNumberFormat="1" applyFont="1" applyFill="1" applyBorder="1" applyAlignment="1">
      <alignment horizontal="center" vertical="center"/>
    </xf>
    <xf numFmtId="166" fontId="49" fillId="2" borderId="1" xfId="0" applyNumberFormat="1" applyFont="1" applyFill="1" applyBorder="1" applyAlignment="1">
      <alignment horizontal="center" vertical="center"/>
    </xf>
    <xf numFmtId="0" fontId="49" fillId="8" borderId="17" xfId="0" applyFont="1" applyFill="1" applyBorder="1" applyAlignment="1">
      <alignment horizontal="left" wrapText="1"/>
    </xf>
    <xf numFmtId="49" fontId="10" fillId="0" borderId="1" xfId="0" applyNumberFormat="1" applyFont="1" applyBorder="1" applyAlignment="1">
      <alignment horizontal="center" vertical="center"/>
    </xf>
    <xf numFmtId="0" fontId="0" fillId="0" borderId="1" xfId="0" applyBorder="1"/>
    <xf numFmtId="166" fontId="0" fillId="0" borderId="1" xfId="0" applyNumberFormat="1" applyBorder="1"/>
    <xf numFmtId="0" fontId="36" fillId="0" borderId="16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37" fillId="0" borderId="3" xfId="0" applyFont="1" applyFill="1" applyBorder="1" applyAlignment="1">
      <alignment horizontal="center" vertical="center" wrapText="1"/>
    </xf>
    <xf numFmtId="0" fontId="39" fillId="0" borderId="4" xfId="0" applyFont="1" applyFill="1" applyBorder="1" applyAlignment="1">
      <alignment horizontal="center" vertical="center" wrapText="1"/>
    </xf>
    <xf numFmtId="0" fontId="39" fillId="0" borderId="6" xfId="0" applyFont="1" applyFill="1" applyBorder="1" applyAlignment="1">
      <alignment horizontal="center" vertical="center" wrapText="1"/>
    </xf>
    <xf numFmtId="0" fontId="39" fillId="0" borderId="3" xfId="0" applyFont="1" applyFill="1" applyBorder="1" applyAlignment="1">
      <alignment horizontal="center" vertical="center" wrapText="1"/>
    </xf>
    <xf numFmtId="0" fontId="36" fillId="0" borderId="4" xfId="0" applyFont="1" applyFill="1" applyBorder="1" applyAlignment="1">
      <alignment horizontal="center" vertical="center"/>
    </xf>
    <xf numFmtId="0" fontId="36" fillId="0" borderId="6" xfId="0" applyFont="1" applyFill="1" applyBorder="1" applyAlignment="1">
      <alignment horizontal="center" vertical="center"/>
    </xf>
    <xf numFmtId="0" fontId="36" fillId="0" borderId="3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top" wrapText="1"/>
    </xf>
    <xf numFmtId="0" fontId="36" fillId="0" borderId="1" xfId="0" applyFont="1" applyFill="1" applyBorder="1" applyAlignment="1">
      <alignment horizontal="center" wrapText="1"/>
    </xf>
    <xf numFmtId="0" fontId="8" fillId="0" borderId="0" xfId="0" applyFont="1" applyFill="1" applyAlignment="1">
      <alignment horizontal="right"/>
    </xf>
    <xf numFmtId="0" fontId="37" fillId="0" borderId="0" xfId="0" applyFont="1" applyFill="1" applyBorder="1" applyAlignment="1">
      <alignment horizontal="center" vertical="top" wrapText="1"/>
    </xf>
    <xf numFmtId="0" fontId="37" fillId="0" borderId="1" xfId="0" applyFont="1" applyBorder="1" applyAlignment="1">
      <alignment horizontal="center" vertical="top" wrapText="1"/>
    </xf>
    <xf numFmtId="0" fontId="36" fillId="0" borderId="1" xfId="0" applyFont="1" applyBorder="1" applyAlignment="1">
      <alignment horizontal="center" wrapText="1"/>
    </xf>
    <xf numFmtId="0" fontId="8" fillId="0" borderId="0" xfId="0" applyFont="1" applyAlignment="1">
      <alignment horizontal="right"/>
    </xf>
    <xf numFmtId="0" fontId="37" fillId="0" borderId="0" xfId="0" applyFont="1" applyBorder="1" applyAlignment="1">
      <alignment horizontal="center" vertical="top" wrapText="1"/>
    </xf>
    <xf numFmtId="0" fontId="36" fillId="0" borderId="4" xfId="0" applyFont="1" applyBorder="1" applyAlignment="1">
      <alignment horizontal="center"/>
    </xf>
    <xf numFmtId="0" fontId="36" fillId="0" borderId="3" xfId="0" applyFont="1" applyBorder="1" applyAlignment="1">
      <alignment horizontal="center"/>
    </xf>
    <xf numFmtId="0" fontId="39" fillId="0" borderId="4" xfId="0" applyFont="1" applyBorder="1" applyAlignment="1">
      <alignment horizontal="center" vertical="top" wrapText="1"/>
    </xf>
    <xf numFmtId="0" fontId="39" fillId="0" borderId="6" xfId="0" applyFont="1" applyBorder="1" applyAlignment="1">
      <alignment horizontal="center" vertical="top" wrapText="1"/>
    </xf>
    <xf numFmtId="0" fontId="39" fillId="0" borderId="3" xfId="0" applyFont="1" applyBorder="1" applyAlignment="1">
      <alignment horizontal="center" vertical="top" wrapText="1"/>
    </xf>
    <xf numFmtId="0" fontId="36" fillId="0" borderId="6" xfId="0" applyFont="1" applyBorder="1" applyAlignment="1">
      <alignment horizontal="center"/>
    </xf>
    <xf numFmtId="0" fontId="37" fillId="0" borderId="4" xfId="0" applyFont="1" applyFill="1" applyBorder="1" applyAlignment="1">
      <alignment horizontal="center" vertical="top" wrapText="1"/>
    </xf>
    <xf numFmtId="0" fontId="37" fillId="0" borderId="6" xfId="0" applyFont="1" applyFill="1" applyBorder="1" applyAlignment="1">
      <alignment horizontal="center" vertical="top" wrapText="1"/>
    </xf>
    <xf numFmtId="0" fontId="37" fillId="0" borderId="3" xfId="0" applyFont="1" applyFill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right"/>
    </xf>
    <xf numFmtId="0" fontId="11" fillId="0" borderId="1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10" fillId="0" borderId="0" xfId="0" applyFont="1" applyAlignment="1">
      <alignment horizontal="right" wrapText="1"/>
    </xf>
    <xf numFmtId="0" fontId="11" fillId="2" borderId="0" xfId="0" applyFont="1" applyFill="1" applyBorder="1" applyAlignment="1">
      <alignment horizontal="center" wrapText="1"/>
    </xf>
    <xf numFmtId="166" fontId="10" fillId="2" borderId="0" xfId="0" applyNumberFormat="1" applyFont="1" applyFill="1" applyAlignment="1">
      <alignment horizontal="right"/>
    </xf>
    <xf numFmtId="0" fontId="11" fillId="2" borderId="0" xfId="0" applyFont="1" applyFill="1" applyBorder="1" applyAlignment="1">
      <alignment horizontal="center" vertical="center" wrapText="1"/>
    </xf>
    <xf numFmtId="166" fontId="11" fillId="2" borderId="0" xfId="0" applyNumberFormat="1" applyFont="1" applyFill="1" applyBorder="1" applyAlignment="1">
      <alignment horizontal="center" vertical="center" wrapText="1"/>
    </xf>
    <xf numFmtId="0" fontId="26" fillId="2" borderId="0" xfId="0" applyFont="1" applyFill="1" applyAlignment="1">
      <alignment horizontal="center" wrapText="1"/>
    </xf>
    <xf numFmtId="166" fontId="26" fillId="2" borderId="0" xfId="0" applyNumberFormat="1" applyFont="1" applyFill="1" applyAlignment="1">
      <alignment horizontal="center" wrapText="1"/>
    </xf>
    <xf numFmtId="0" fontId="10" fillId="0" borderId="0" xfId="0" applyFont="1" applyAlignment="1">
      <alignment horizontal="right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8" fillId="0" borderId="0" xfId="0" applyFont="1" applyAlignment="1">
      <alignment horizontal="right" wrapText="1"/>
    </xf>
    <xf numFmtId="0" fontId="8" fillId="0" borderId="1" xfId="0" applyFont="1" applyBorder="1" applyAlignment="1">
      <alignment horizontal="center" vertical="center"/>
    </xf>
    <xf numFmtId="0" fontId="8" fillId="0" borderId="10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11" xfId="0" applyFont="1" applyBorder="1" applyAlignment="1">
      <alignment wrapText="1"/>
    </xf>
    <xf numFmtId="0" fontId="13" fillId="0" borderId="0" xfId="0" applyFont="1" applyAlignment="1">
      <alignment wrapText="1"/>
    </xf>
    <xf numFmtId="0" fontId="9" fillId="0" borderId="0" xfId="0" applyFont="1" applyBorder="1" applyAlignment="1">
      <alignment horizontal="center" wrapText="1"/>
    </xf>
    <xf numFmtId="0" fontId="15" fillId="0" borderId="0" xfId="0" applyFont="1" applyAlignment="1"/>
    <xf numFmtId="0" fontId="20" fillId="0" borderId="0" xfId="0" applyFont="1" applyFill="1" applyAlignment="1">
      <alignment horizontal="center" vertical="top" wrapText="1"/>
    </xf>
    <xf numFmtId="0" fontId="23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7" xfId="0" applyFont="1" applyBorder="1" applyAlignment="1">
      <alignment horizontal="center"/>
    </xf>
  </cellXfs>
  <cellStyles count="18">
    <cellStyle name="Гиперссылка" xfId="1" builtinId="8"/>
    <cellStyle name="Обычный" xfId="0" builtinId="0"/>
    <cellStyle name="Обычный 2" xfId="9"/>
    <cellStyle name="Обычный 2 2" xfId="2"/>
    <cellStyle name="Обычный 2 3" xfId="14"/>
    <cellStyle name="Обычный 2 3 2" xfId="17"/>
    <cellStyle name="Обычный 3" xfId="11"/>
    <cellStyle name="Обычный 4" xfId="10"/>
    <cellStyle name="Обычный 5" xfId="15"/>
    <cellStyle name="Обычный 6" xfId="8"/>
    <cellStyle name="Обычный 7" xfId="16"/>
    <cellStyle name="Обычный_пр. 10" xfId="3"/>
    <cellStyle name="Обычный_пр. 7" xfId="4"/>
    <cellStyle name="Обычный_свод" xfId="5"/>
    <cellStyle name="Процентный" xfId="6" builtinId="5"/>
    <cellStyle name="Процентный 2" xfId="12"/>
    <cellStyle name="Финансовый" xfId="7" builtinId="3"/>
    <cellStyle name="Финансовый 2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41;&#1102;&#1076;&#1078;&#1077;&#1090;%202018-2020%20&#1075;&#1086;&#1076;&#1099;\3_&#1072;&#1087;&#1088;&#1077;&#1083;&#1100;\&#1055;&#1088;&#1080;&#1083;&#1086;&#1078;&#1077;&#1085;&#1080;&#1103;%201-11%2025&#1089;&#1077;&#1085;&#1090;&#1103;&#1073;&#1088;&#110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0;&#1076;&#1084;&#1080;&#1085;&#1080;&#1089;&#1090;&#1088;&#1072;&#1090;&#1086;&#1088;\Desktop\&#1041;&#1102;&#1076;&#1078;&#1077;&#1090;%202023-2025\8%20&#1089;&#1077;&#1085;&#1090;&#1103;&#1073;&#1088;&#1100;%20&#1086;&#1090;%2028.09.%20&#8470;2-2&#1057;\&#1055;&#1088;&#1080;&#1083;&#1086;&#1078;&#1077;&#1085;&#1080;&#1103;%201-18.xls;%20&#1085;&#1072;%202023-25%20&#1075;&#1086;&#1076;&#1099;%20&#1089;&#1077;&#1085;&#1090;&#1103;&#1073;&#1088;&#110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1;&#1102;&#1076;&#1078;&#1077;&#1090;%202024-2026&#1075;&#1075;\1%20&#1095;&#1090;&#1077;&#1085;&#1080;&#1077;\&#1057;&#1044;\&#1055;&#1088;&#1086;&#1077;&#1082;&#1090;%20&#1088;&#1077;&#1096;&#1077;&#1085;&#1080;&#1103;\&#1055;&#1088;&#1080;&#1083;&#1086;&#1078;&#1077;&#1085;&#1080;&#1103;%201-18%20&#1085;&#1072;%202024-2026&#1075;&#107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.1"/>
      <sheetName val="пр.2"/>
      <sheetName val="пр.3"/>
      <sheetName val="пр.3-1"/>
      <sheetName val="пр. 4"/>
      <sheetName val="пр. 5"/>
      <sheetName val="пр. 6"/>
      <sheetName val="пр. 7"/>
      <sheetName val="пр. 8"/>
      <sheetName val="пр.9"/>
      <sheetName val="пр. 10"/>
      <sheetName val="пр. 11"/>
      <sheetName val="город "/>
      <sheetName val="поправки "/>
      <sheetName val="поправки упрощ.вариант "/>
      <sheetName val="ППНиНДi"/>
      <sheetName val="Рi пр"/>
      <sheetName val="Дi"/>
      <sheetName val="Нпрi"/>
      <sheetName val="Лист1"/>
      <sheetName val="Лист2"/>
      <sheetName val="касс.пла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49">
          <cell r="H49">
            <v>0</v>
          </cell>
        </row>
        <row r="758">
          <cell r="H758">
            <v>388583.76954000001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.1"/>
      <sheetName val="пр.2"/>
      <sheetName val="пр.3"/>
      <sheetName val="пр.4"/>
      <sheetName val="пр.5"/>
      <sheetName val="пр.6"/>
      <sheetName val="пр.7 2023г"/>
      <sheetName val="пр.8 2024-2025г"/>
      <sheetName val="пр.9 "/>
      <sheetName val="пр.10 "/>
      <sheetName val="пр.11 2023г"/>
      <sheetName val="пр.12 2024-2025г"/>
      <sheetName val="пр.14 2023г"/>
      <sheetName val="пр.15 2024-2025г"/>
      <sheetName val="пр.18 2023г"/>
      <sheetName val="пр.19  2024-2025"/>
      <sheetName val="пр.20 2023г"/>
      <sheetName val="пр.21 2024-25"/>
    </sheetNames>
    <sheetDataSet>
      <sheetData sheetId="0" refreshError="1">
        <row r="11">
          <cell r="D11">
            <v>343268.06987999997</v>
          </cell>
        </row>
      </sheetData>
      <sheetData sheetId="1" refreshError="1"/>
      <sheetData sheetId="2" refreshError="1">
        <row r="13">
          <cell r="D13">
            <v>98709</v>
          </cell>
        </row>
        <row r="87">
          <cell r="D87">
            <v>4754.6000000000004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.1"/>
      <sheetName val="пр.2"/>
      <sheetName val="пр.3"/>
      <sheetName val="пр.4"/>
      <sheetName val="пр.5"/>
      <sheetName val="пр.6"/>
      <sheetName val="пр.7 2024г"/>
      <sheetName val="пр.8 2024-2026г"/>
      <sheetName val="пр.9 "/>
      <sheetName val="пр.10 "/>
      <sheetName val="пр.11 2024г"/>
      <sheetName val="пр.12 2025-2026г"/>
      <sheetName val="пр.14 2024г"/>
      <sheetName val="пр.15 2025-2026г"/>
      <sheetName val="пр.18 2024г"/>
      <sheetName val="пр.19  2025-2026"/>
      <sheetName val="пр.20 2023г"/>
      <sheetName val="пр.21 2024-25"/>
    </sheetNames>
    <sheetDataSet>
      <sheetData sheetId="0"/>
      <sheetData sheetId="1"/>
      <sheetData sheetId="2"/>
      <sheetData sheetId="3"/>
      <sheetData sheetId="4"/>
      <sheetData sheetId="5"/>
      <sheetData sheetId="6">
        <row r="116">
          <cell r="I116">
            <v>0</v>
          </cell>
        </row>
        <row r="125">
          <cell r="I125">
            <v>2.9</v>
          </cell>
        </row>
        <row r="236">
          <cell r="I236">
            <v>22582.800000000003</v>
          </cell>
        </row>
        <row r="238">
          <cell r="I238">
            <v>8553.2000000000007</v>
          </cell>
        </row>
        <row r="240">
          <cell r="I240">
            <v>3500</v>
          </cell>
        </row>
        <row r="241">
          <cell r="I241">
            <v>10529.6</v>
          </cell>
        </row>
        <row r="246">
          <cell r="I246">
            <v>70</v>
          </cell>
        </row>
        <row r="247">
          <cell r="I247">
            <v>30</v>
          </cell>
        </row>
        <row r="249">
          <cell r="I249">
            <v>100</v>
          </cell>
        </row>
        <row r="251">
          <cell r="I251">
            <v>2.0408200000000001</v>
          </cell>
        </row>
        <row r="257">
          <cell r="I257">
            <v>19913.099999999999</v>
          </cell>
        </row>
        <row r="259">
          <cell r="I259">
            <v>4869.3907099999997</v>
          </cell>
        </row>
        <row r="262">
          <cell r="I262">
            <v>30091.200000000001</v>
          </cell>
        </row>
        <row r="264">
          <cell r="I264">
            <v>16938</v>
          </cell>
        </row>
        <row r="266">
          <cell r="I266">
            <v>600</v>
          </cell>
        </row>
        <row r="338">
          <cell r="I338">
            <v>27861</v>
          </cell>
        </row>
        <row r="339">
          <cell r="I339">
            <v>27861</v>
          </cell>
        </row>
        <row r="375">
          <cell r="I375">
            <v>0</v>
          </cell>
        </row>
        <row r="425">
          <cell r="I425">
            <v>0</v>
          </cell>
        </row>
        <row r="700">
          <cell r="I700">
            <v>11806.666670000001</v>
          </cell>
        </row>
        <row r="702">
          <cell r="I702">
            <v>11806.666670000001</v>
          </cell>
        </row>
        <row r="725">
          <cell r="I725">
            <v>0</v>
          </cell>
        </row>
        <row r="728">
          <cell r="I728">
            <v>818564.8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pandia.ru/text/category/munitcipalmznie_obrazovaniya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://www.pandia.ru/text/category/munitcipalmznie_obrazovaniya/" TargetMode="External"/><Relationship Id="rId1" Type="http://schemas.openxmlformats.org/officeDocument/2006/relationships/hyperlink" Target="http://www.pandia.ru/text/category/munitcipalmznie_obrazovaniya/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H84"/>
  <sheetViews>
    <sheetView view="pageBreakPreview" topLeftCell="A46" zoomScale="89" zoomScaleSheetLayoutView="89" workbookViewId="0">
      <selection activeCell="F11" sqref="F11"/>
    </sheetView>
  </sheetViews>
  <sheetFormatPr defaultRowHeight="12"/>
  <cols>
    <col min="1" max="1" width="6.5703125" style="220" customWidth="1"/>
    <col min="2" max="2" width="27.42578125" style="232" customWidth="1"/>
    <col min="3" max="3" width="68.140625" style="223" customWidth="1"/>
    <col min="4" max="4" width="18.85546875" style="224" customWidth="1"/>
    <col min="5" max="5" width="12.140625" style="220" bestFit="1" customWidth="1"/>
    <col min="6" max="6" width="11.42578125" style="220" bestFit="1" customWidth="1"/>
    <col min="7" max="7" width="9.140625" style="220"/>
    <col min="8" max="8" width="9.140625" style="222"/>
    <col min="9" max="16384" width="9.140625" style="220"/>
  </cols>
  <sheetData>
    <row r="1" spans="1:8" ht="12.75">
      <c r="A1" s="355"/>
      <c r="B1" s="356"/>
      <c r="C1" s="357"/>
      <c r="D1" s="744" t="s">
        <v>276</v>
      </c>
    </row>
    <row r="2" spans="1:8" ht="12.75">
      <c r="A2" s="355"/>
      <c r="B2" s="356"/>
      <c r="C2" s="828" t="s">
        <v>141</v>
      </c>
      <c r="D2" s="828"/>
    </row>
    <row r="3" spans="1:8" ht="12.75">
      <c r="A3" s="355"/>
      <c r="B3" s="356"/>
      <c r="C3" s="828" t="s">
        <v>240</v>
      </c>
      <c r="D3" s="828"/>
    </row>
    <row r="4" spans="1:8" ht="12.75">
      <c r="A4" s="355"/>
      <c r="B4" s="356"/>
      <c r="C4" s="828" t="s">
        <v>104</v>
      </c>
      <c r="D4" s="828"/>
    </row>
    <row r="5" spans="1:8" ht="12.75">
      <c r="A5" s="355"/>
      <c r="B5" s="356"/>
      <c r="C5" s="828" t="s">
        <v>1195</v>
      </c>
      <c r="D5" s="828"/>
    </row>
    <row r="6" spans="1:8" ht="12.75">
      <c r="A6" s="355"/>
      <c r="B6" s="356"/>
      <c r="C6" s="828" t="s">
        <v>1199</v>
      </c>
      <c r="D6" s="828"/>
    </row>
    <row r="7" spans="1:8">
      <c r="A7" s="355"/>
      <c r="B7" s="356"/>
      <c r="C7" s="356"/>
      <c r="D7" s="358"/>
    </row>
    <row r="8" spans="1:8">
      <c r="A8" s="355"/>
      <c r="B8" s="829" t="s">
        <v>1073</v>
      </c>
      <c r="C8" s="829"/>
      <c r="D8" s="829"/>
    </row>
    <row r="9" spans="1:8">
      <c r="A9" s="355"/>
      <c r="B9" s="356"/>
      <c r="C9" s="356"/>
      <c r="D9" s="440" t="s">
        <v>105</v>
      </c>
    </row>
    <row r="10" spans="1:8" ht="24" customHeight="1">
      <c r="A10" s="364" t="s">
        <v>277</v>
      </c>
      <c r="B10" s="743" t="s">
        <v>74</v>
      </c>
      <c r="C10" s="743" t="s">
        <v>146</v>
      </c>
      <c r="D10" s="743" t="s">
        <v>1074</v>
      </c>
    </row>
    <row r="11" spans="1:8" s="225" customFormat="1" ht="12" customHeight="1">
      <c r="A11" s="364"/>
      <c r="B11" s="826" t="s">
        <v>75</v>
      </c>
      <c r="C11" s="827"/>
      <c r="D11" s="230">
        <f>D12+D19+D24+D28+D30+D38+D43+D47+D67</f>
        <v>354091.94000000006</v>
      </c>
      <c r="E11" s="230">
        <f>E12+E19+E24+E28+E30+E38+E43+E47+E67</f>
        <v>315792.04000000004</v>
      </c>
      <c r="F11" s="794">
        <f>D11-E11</f>
        <v>38299.900000000023</v>
      </c>
      <c r="H11" s="226"/>
    </row>
    <row r="12" spans="1:8" s="225" customFormat="1">
      <c r="A12" s="364">
        <v>1</v>
      </c>
      <c r="B12" s="743" t="s">
        <v>76</v>
      </c>
      <c r="C12" s="229" t="s">
        <v>77</v>
      </c>
      <c r="D12" s="230">
        <f>D13</f>
        <v>302667.90000000002</v>
      </c>
      <c r="E12" s="230">
        <f>E13</f>
        <v>264368</v>
      </c>
      <c r="F12" s="794">
        <f t="shared" ref="F12:F69" si="0">D12-E12</f>
        <v>38299.900000000023</v>
      </c>
      <c r="H12" s="226"/>
    </row>
    <row r="13" spans="1:8" ht="12" customHeight="1">
      <c r="A13" s="820"/>
      <c r="B13" s="359" t="s">
        <v>78</v>
      </c>
      <c r="C13" s="360" t="s">
        <v>79</v>
      </c>
      <c r="D13" s="361">
        <f>D14+D15+D16+D17+D18</f>
        <v>302667.90000000002</v>
      </c>
      <c r="E13" s="361">
        <f>E14+E15+E16+E17+E18</f>
        <v>264368</v>
      </c>
      <c r="F13" s="794">
        <f t="shared" si="0"/>
        <v>38299.900000000023</v>
      </c>
    </row>
    <row r="14" spans="1:8" ht="36">
      <c r="A14" s="821"/>
      <c r="B14" s="359" t="s">
        <v>281</v>
      </c>
      <c r="C14" s="360" t="s">
        <v>804</v>
      </c>
      <c r="D14" s="361">
        <f>299075+2039.9</f>
        <v>301114.90000000002</v>
      </c>
      <c r="E14" s="361">
        <v>262755.7</v>
      </c>
      <c r="F14" s="794">
        <f t="shared" si="0"/>
        <v>38359.200000000012</v>
      </c>
    </row>
    <row r="15" spans="1:8" s="225" customFormat="1" ht="60">
      <c r="A15" s="821"/>
      <c r="B15" s="359" t="s">
        <v>282</v>
      </c>
      <c r="C15" s="362" t="s">
        <v>242</v>
      </c>
      <c r="D15" s="361">
        <v>38</v>
      </c>
      <c r="E15" s="361">
        <v>128.9</v>
      </c>
      <c r="F15" s="794">
        <f t="shared" si="0"/>
        <v>-90.9</v>
      </c>
      <c r="H15" s="226"/>
    </row>
    <row r="16" spans="1:8" ht="27" customHeight="1">
      <c r="A16" s="821"/>
      <c r="B16" s="359" t="s">
        <v>283</v>
      </c>
      <c r="C16" s="360" t="s">
        <v>280</v>
      </c>
      <c r="D16" s="361">
        <v>1487</v>
      </c>
      <c r="E16" s="361">
        <v>1418.6</v>
      </c>
      <c r="F16" s="794">
        <f t="shared" si="0"/>
        <v>68.400000000000091</v>
      </c>
    </row>
    <row r="17" spans="1:8" ht="54" customHeight="1">
      <c r="A17" s="822"/>
      <c r="B17" s="359" t="s">
        <v>284</v>
      </c>
      <c r="C17" s="362" t="s">
        <v>11</v>
      </c>
      <c r="D17" s="361">
        <v>28</v>
      </c>
      <c r="E17" s="361">
        <v>21.5</v>
      </c>
      <c r="F17" s="794">
        <f t="shared" si="0"/>
        <v>6.5</v>
      </c>
      <c r="H17" s="227"/>
    </row>
    <row r="18" spans="1:8" ht="36" hidden="1">
      <c r="A18" s="748"/>
      <c r="B18" s="359" t="s">
        <v>1065</v>
      </c>
      <c r="C18" s="362" t="s">
        <v>1064</v>
      </c>
      <c r="D18" s="361">
        <v>0</v>
      </c>
      <c r="E18" s="361">
        <v>43.3</v>
      </c>
      <c r="F18" s="794">
        <f t="shared" si="0"/>
        <v>-43.3</v>
      </c>
      <c r="H18" s="227"/>
    </row>
    <row r="19" spans="1:8" ht="24">
      <c r="A19" s="363">
        <v>2</v>
      </c>
      <c r="B19" s="364" t="s">
        <v>1015</v>
      </c>
      <c r="C19" s="365" t="s">
        <v>87</v>
      </c>
      <c r="D19" s="230">
        <f>SUM(D20:D23)</f>
        <v>16822.140000000003</v>
      </c>
      <c r="E19" s="230">
        <f>SUM(E20:E23)</f>
        <v>16822.140000000003</v>
      </c>
      <c r="F19" s="794">
        <f t="shared" si="0"/>
        <v>0</v>
      </c>
    </row>
    <row r="20" spans="1:8" ht="36.75" customHeight="1">
      <c r="A20" s="823"/>
      <c r="B20" s="366" t="s">
        <v>1016</v>
      </c>
      <c r="C20" s="367" t="s">
        <v>12</v>
      </c>
      <c r="D20" s="368">
        <v>8773.4500000000007</v>
      </c>
      <c r="E20" s="368">
        <v>8773.4500000000007</v>
      </c>
      <c r="F20" s="794">
        <f t="shared" si="0"/>
        <v>0</v>
      </c>
    </row>
    <row r="21" spans="1:8" s="225" customFormat="1" ht="48">
      <c r="A21" s="824"/>
      <c r="B21" s="366" t="s">
        <v>1017</v>
      </c>
      <c r="C21" s="367" t="s">
        <v>13</v>
      </c>
      <c r="D21" s="368">
        <v>41.8</v>
      </c>
      <c r="E21" s="368">
        <v>41.8</v>
      </c>
      <c r="F21" s="794">
        <f t="shared" si="0"/>
        <v>0</v>
      </c>
      <c r="H21" s="226"/>
    </row>
    <row r="22" spans="1:8" ht="36">
      <c r="A22" s="824"/>
      <c r="B22" s="366" t="s">
        <v>1018</v>
      </c>
      <c r="C22" s="367" t="s">
        <v>14</v>
      </c>
      <c r="D22" s="368">
        <v>9097.08</v>
      </c>
      <c r="E22" s="368">
        <v>9097.08</v>
      </c>
      <c r="F22" s="794">
        <f t="shared" si="0"/>
        <v>0</v>
      </c>
    </row>
    <row r="23" spans="1:8" ht="36">
      <c r="A23" s="825"/>
      <c r="B23" s="366" t="s">
        <v>1019</v>
      </c>
      <c r="C23" s="367" t="s">
        <v>15</v>
      </c>
      <c r="D23" s="368">
        <v>-1090.19</v>
      </c>
      <c r="E23" s="368">
        <v>-1090.19</v>
      </c>
      <c r="F23" s="794">
        <f t="shared" si="0"/>
        <v>0</v>
      </c>
    </row>
    <row r="24" spans="1:8">
      <c r="A24" s="364">
        <v>3</v>
      </c>
      <c r="B24" s="369" t="s">
        <v>80</v>
      </c>
      <c r="C24" s="229" t="s">
        <v>243</v>
      </c>
      <c r="D24" s="230">
        <f>D26+D27+D25</f>
        <v>19700</v>
      </c>
      <c r="E24" s="230">
        <f>E26+E27+E25</f>
        <v>19700</v>
      </c>
      <c r="F24" s="794">
        <f t="shared" si="0"/>
        <v>0</v>
      </c>
    </row>
    <row r="25" spans="1:8">
      <c r="A25" s="817"/>
      <c r="B25" s="384" t="s">
        <v>399</v>
      </c>
      <c r="C25" s="360" t="s">
        <v>421</v>
      </c>
      <c r="D25" s="361">
        <v>15650</v>
      </c>
      <c r="E25" s="361">
        <v>15650</v>
      </c>
      <c r="F25" s="794">
        <f t="shared" si="0"/>
        <v>0</v>
      </c>
    </row>
    <row r="26" spans="1:8" ht="17.25" customHeight="1">
      <c r="A26" s="818"/>
      <c r="B26" s="385" t="s">
        <v>244</v>
      </c>
      <c r="C26" s="360" t="s">
        <v>16</v>
      </c>
      <c r="D26" s="361">
        <v>400</v>
      </c>
      <c r="E26" s="361">
        <v>400</v>
      </c>
      <c r="F26" s="794">
        <f t="shared" si="0"/>
        <v>0</v>
      </c>
    </row>
    <row r="27" spans="1:8" s="225" customFormat="1" ht="24">
      <c r="A27" s="819"/>
      <c r="B27" s="359" t="s">
        <v>29</v>
      </c>
      <c r="C27" s="371" t="s">
        <v>28</v>
      </c>
      <c r="D27" s="361">
        <v>3650</v>
      </c>
      <c r="E27" s="361">
        <v>3650</v>
      </c>
      <c r="F27" s="794">
        <f t="shared" si="0"/>
        <v>0</v>
      </c>
      <c r="H27" s="226"/>
    </row>
    <row r="28" spans="1:8" ht="12" customHeight="1">
      <c r="A28" s="364">
        <v>4</v>
      </c>
      <c r="B28" s="743" t="s">
        <v>245</v>
      </c>
      <c r="C28" s="229" t="s">
        <v>246</v>
      </c>
      <c r="D28" s="230">
        <f>D29</f>
        <v>4654.2</v>
      </c>
      <c r="E28" s="230">
        <f>E29</f>
        <v>4654.2</v>
      </c>
      <c r="F28" s="794">
        <f t="shared" si="0"/>
        <v>0</v>
      </c>
    </row>
    <row r="29" spans="1:8" ht="24">
      <c r="A29" s="594"/>
      <c r="B29" s="359" t="s">
        <v>229</v>
      </c>
      <c r="C29" s="360" t="s">
        <v>17</v>
      </c>
      <c r="D29" s="361">
        <v>4654.2</v>
      </c>
      <c r="E29" s="361">
        <v>4654.2</v>
      </c>
      <c r="F29" s="794">
        <f t="shared" si="0"/>
        <v>0</v>
      </c>
    </row>
    <row r="30" spans="1:8" s="225" customFormat="1" ht="24">
      <c r="A30" s="745">
        <v>5</v>
      </c>
      <c r="B30" s="743" t="s">
        <v>247</v>
      </c>
      <c r="C30" s="229" t="s">
        <v>248</v>
      </c>
      <c r="D30" s="230">
        <f>D31+D33+D35+D32+D37+D34+D36</f>
        <v>5752.4</v>
      </c>
      <c r="E30" s="230">
        <f>E31+E33+E35+E32+E37+E34+E36</f>
        <v>5752.4</v>
      </c>
      <c r="F30" s="794">
        <f t="shared" si="0"/>
        <v>0</v>
      </c>
      <c r="H30" s="226"/>
    </row>
    <row r="31" spans="1:8" ht="48">
      <c r="A31" s="820"/>
      <c r="B31" s="370" t="s">
        <v>415</v>
      </c>
      <c r="C31" s="228" t="s">
        <v>91</v>
      </c>
      <c r="D31" s="361">
        <v>2579</v>
      </c>
      <c r="E31" s="361">
        <v>2579</v>
      </c>
      <c r="F31" s="794">
        <f t="shared" si="0"/>
        <v>0</v>
      </c>
    </row>
    <row r="32" spans="1:8" ht="48">
      <c r="A32" s="821"/>
      <c r="B32" s="370" t="s">
        <v>901</v>
      </c>
      <c r="C32" s="228" t="s">
        <v>91</v>
      </c>
      <c r="D32" s="361">
        <v>479.4</v>
      </c>
      <c r="E32" s="361">
        <v>479.4</v>
      </c>
      <c r="F32" s="794">
        <f t="shared" si="0"/>
        <v>0</v>
      </c>
    </row>
    <row r="33" spans="1:8" ht="48" customHeight="1">
      <c r="A33" s="821"/>
      <c r="B33" s="370" t="s">
        <v>89</v>
      </c>
      <c r="C33" s="228" t="s">
        <v>90</v>
      </c>
      <c r="D33" s="361">
        <v>941.6</v>
      </c>
      <c r="E33" s="361">
        <v>941.6</v>
      </c>
      <c r="F33" s="794">
        <f t="shared" si="0"/>
        <v>0</v>
      </c>
    </row>
    <row r="34" spans="1:8" ht="48" hidden="1" customHeight="1">
      <c r="A34" s="821"/>
      <c r="B34" s="370" t="s">
        <v>911</v>
      </c>
      <c r="C34" s="228" t="s">
        <v>90</v>
      </c>
      <c r="D34" s="361"/>
      <c r="E34" s="361"/>
      <c r="F34" s="794">
        <f t="shared" si="0"/>
        <v>0</v>
      </c>
    </row>
    <row r="35" spans="1:8" s="225" customFormat="1" ht="44.25" customHeight="1">
      <c r="A35" s="822"/>
      <c r="B35" s="370" t="s">
        <v>249</v>
      </c>
      <c r="C35" s="228" t="s">
        <v>53</v>
      </c>
      <c r="D35" s="361">
        <v>626</v>
      </c>
      <c r="E35" s="361">
        <v>626</v>
      </c>
      <c r="F35" s="794">
        <f t="shared" si="0"/>
        <v>0</v>
      </c>
      <c r="H35" s="226"/>
    </row>
    <row r="36" spans="1:8" s="225" customFormat="1" ht="44.25" customHeight="1">
      <c r="A36" s="749"/>
      <c r="B36" s="370" t="s">
        <v>912</v>
      </c>
      <c r="C36" s="228" t="s">
        <v>53</v>
      </c>
      <c r="D36" s="361">
        <v>1126.4000000000001</v>
      </c>
      <c r="E36" s="361">
        <v>1126.4000000000001</v>
      </c>
      <c r="F36" s="794">
        <f t="shared" si="0"/>
        <v>0</v>
      </c>
      <c r="H36" s="226"/>
    </row>
    <row r="37" spans="1:8" s="225" customFormat="1" ht="44.25" hidden="1" customHeight="1">
      <c r="A37" s="749"/>
      <c r="B37" s="370" t="s">
        <v>902</v>
      </c>
      <c r="C37" s="228" t="s">
        <v>903</v>
      </c>
      <c r="D37" s="361">
        <v>0</v>
      </c>
      <c r="E37" s="361">
        <v>0</v>
      </c>
      <c r="F37" s="794">
        <f t="shared" si="0"/>
        <v>0</v>
      </c>
      <c r="H37" s="226"/>
    </row>
    <row r="38" spans="1:8" s="225" customFormat="1">
      <c r="A38" s="364">
        <v>6</v>
      </c>
      <c r="B38" s="743" t="s">
        <v>211</v>
      </c>
      <c r="C38" s="229" t="s">
        <v>250</v>
      </c>
      <c r="D38" s="230">
        <f>D39+D40</f>
        <v>545.29999999999995</v>
      </c>
      <c r="E38" s="230">
        <f>E39+E40</f>
        <v>545.29999999999995</v>
      </c>
      <c r="F38" s="794">
        <f t="shared" si="0"/>
        <v>0</v>
      </c>
      <c r="H38" s="226"/>
    </row>
    <row r="39" spans="1:8" s="225" customFormat="1" ht="24">
      <c r="A39" s="818"/>
      <c r="B39" s="370" t="s">
        <v>287</v>
      </c>
      <c r="C39" s="360" t="s">
        <v>285</v>
      </c>
      <c r="D39" s="361">
        <v>545.29999999999995</v>
      </c>
      <c r="E39" s="361">
        <v>545.29999999999995</v>
      </c>
      <c r="F39" s="794">
        <f t="shared" si="0"/>
        <v>0</v>
      </c>
      <c r="H39" s="226"/>
    </row>
    <row r="40" spans="1:8" s="225" customFormat="1" hidden="1">
      <c r="A40" s="819"/>
      <c r="B40" s="370" t="s">
        <v>288</v>
      </c>
      <c r="C40" s="332" t="s">
        <v>286</v>
      </c>
      <c r="D40" s="372">
        <v>0</v>
      </c>
      <c r="E40" s="372">
        <v>0</v>
      </c>
      <c r="F40" s="794">
        <f t="shared" si="0"/>
        <v>0</v>
      </c>
      <c r="H40" s="226"/>
    </row>
    <row r="41" spans="1:8" ht="24" hidden="1">
      <c r="A41" s="746">
        <v>7</v>
      </c>
      <c r="B41" s="743" t="s">
        <v>251</v>
      </c>
      <c r="C41" s="229" t="s">
        <v>252</v>
      </c>
      <c r="D41" s="230">
        <v>0</v>
      </c>
      <c r="E41" s="230">
        <v>0</v>
      </c>
      <c r="F41" s="794">
        <f t="shared" si="0"/>
        <v>0</v>
      </c>
    </row>
    <row r="42" spans="1:8" ht="24" hidden="1">
      <c r="A42" s="594"/>
      <c r="B42" s="359" t="s">
        <v>253</v>
      </c>
      <c r="C42" s="360" t="s">
        <v>115</v>
      </c>
      <c r="D42" s="361"/>
      <c r="E42" s="361"/>
      <c r="F42" s="794">
        <f t="shared" si="0"/>
        <v>0</v>
      </c>
    </row>
    <row r="43" spans="1:8" s="225" customFormat="1">
      <c r="A43" s="745">
        <v>7</v>
      </c>
      <c r="B43" s="743" t="s">
        <v>254</v>
      </c>
      <c r="C43" s="229" t="s">
        <v>255</v>
      </c>
      <c r="D43" s="230">
        <f>D44+D45+D46</f>
        <v>450</v>
      </c>
      <c r="E43" s="230">
        <f>E44+E45+E46</f>
        <v>450</v>
      </c>
      <c r="F43" s="794">
        <f t="shared" si="0"/>
        <v>0</v>
      </c>
      <c r="H43" s="226"/>
    </row>
    <row r="44" spans="1:8" s="225" customFormat="1" ht="48" hidden="1">
      <c r="A44" s="817"/>
      <c r="B44" s="370" t="s">
        <v>289</v>
      </c>
      <c r="C44" s="360" t="s">
        <v>256</v>
      </c>
      <c r="D44" s="361">
        <v>0</v>
      </c>
      <c r="E44" s="361">
        <v>0</v>
      </c>
      <c r="F44" s="794">
        <f t="shared" si="0"/>
        <v>0</v>
      </c>
      <c r="H44" s="226"/>
    </row>
    <row r="45" spans="1:8" ht="24">
      <c r="A45" s="818"/>
      <c r="B45" s="370" t="s">
        <v>904</v>
      </c>
      <c r="C45" s="228" t="s">
        <v>92</v>
      </c>
      <c r="D45" s="361">
        <v>201.3</v>
      </c>
      <c r="E45" s="361">
        <v>201.3</v>
      </c>
      <c r="F45" s="794">
        <f t="shared" si="0"/>
        <v>0</v>
      </c>
    </row>
    <row r="46" spans="1:8" ht="24">
      <c r="A46" s="819"/>
      <c r="B46" s="370" t="s">
        <v>94</v>
      </c>
      <c r="C46" s="228" t="s">
        <v>93</v>
      </c>
      <c r="D46" s="361">
        <v>248.7</v>
      </c>
      <c r="E46" s="361">
        <v>248.7</v>
      </c>
      <c r="F46" s="794">
        <f t="shared" si="0"/>
        <v>0</v>
      </c>
    </row>
    <row r="47" spans="1:8">
      <c r="A47" s="595">
        <v>8</v>
      </c>
      <c r="B47" s="640" t="s">
        <v>257</v>
      </c>
      <c r="C47" s="641" t="s">
        <v>258</v>
      </c>
      <c r="D47" s="230">
        <f>SUM(D48:D66)</f>
        <v>2300</v>
      </c>
      <c r="E47" s="230">
        <f>SUM(E48:E66)</f>
        <v>2300</v>
      </c>
      <c r="F47" s="794">
        <f t="shared" si="0"/>
        <v>0</v>
      </c>
    </row>
    <row r="48" spans="1:8" ht="48">
      <c r="A48" s="816"/>
      <c r="B48" s="642" t="s">
        <v>913</v>
      </c>
      <c r="C48" s="646" t="s">
        <v>700</v>
      </c>
      <c r="D48" s="751">
        <v>21</v>
      </c>
      <c r="E48" s="751">
        <v>21</v>
      </c>
      <c r="F48" s="794">
        <f t="shared" si="0"/>
        <v>0</v>
      </c>
    </row>
    <row r="49" spans="1:8" ht="48">
      <c r="A49" s="816"/>
      <c r="B49" s="642" t="s">
        <v>914</v>
      </c>
      <c r="C49" s="646" t="s">
        <v>700</v>
      </c>
      <c r="D49" s="751">
        <v>48.7</v>
      </c>
      <c r="E49" s="751">
        <v>48.7</v>
      </c>
      <c r="F49" s="794">
        <f t="shared" si="0"/>
        <v>0</v>
      </c>
    </row>
    <row r="50" spans="1:8" ht="60">
      <c r="A50" s="816"/>
      <c r="B50" s="643" t="s">
        <v>915</v>
      </c>
      <c r="C50" s="702" t="s">
        <v>695</v>
      </c>
      <c r="D50" s="751">
        <v>6</v>
      </c>
      <c r="E50" s="751">
        <v>6</v>
      </c>
      <c r="F50" s="794">
        <f t="shared" si="0"/>
        <v>0</v>
      </c>
      <c r="G50" s="222"/>
      <c r="H50" s="220"/>
    </row>
    <row r="51" spans="1:8" ht="60">
      <c r="A51" s="816"/>
      <c r="B51" s="643" t="s">
        <v>916</v>
      </c>
      <c r="C51" s="702" t="s">
        <v>695</v>
      </c>
      <c r="D51" s="751">
        <v>175.79999999999998</v>
      </c>
      <c r="E51" s="751">
        <v>175.79999999999998</v>
      </c>
      <c r="F51" s="794">
        <f t="shared" si="0"/>
        <v>0</v>
      </c>
      <c r="G51" s="222"/>
      <c r="H51" s="220"/>
    </row>
    <row r="52" spans="1:8" ht="48">
      <c r="A52" s="816"/>
      <c r="B52" s="644" t="s">
        <v>917</v>
      </c>
      <c r="C52" s="703" t="s">
        <v>696</v>
      </c>
      <c r="D52" s="751">
        <v>88.800000000000011</v>
      </c>
      <c r="E52" s="751">
        <v>88.800000000000011</v>
      </c>
      <c r="F52" s="794">
        <f t="shared" si="0"/>
        <v>0</v>
      </c>
      <c r="G52" s="222"/>
      <c r="H52" s="220"/>
    </row>
    <row r="53" spans="1:8" ht="72">
      <c r="A53" s="816"/>
      <c r="B53" s="642" t="s">
        <v>918</v>
      </c>
      <c r="C53" s="704" t="s">
        <v>697</v>
      </c>
      <c r="D53" s="751">
        <v>94</v>
      </c>
      <c r="E53" s="751">
        <v>94</v>
      </c>
      <c r="F53" s="794">
        <f t="shared" si="0"/>
        <v>0</v>
      </c>
      <c r="G53" s="222"/>
      <c r="H53" s="220"/>
    </row>
    <row r="54" spans="1:8" ht="51.75" customHeight="1">
      <c r="A54" s="816"/>
      <c r="B54" s="642" t="s">
        <v>919</v>
      </c>
      <c r="C54" s="704" t="s">
        <v>899</v>
      </c>
      <c r="D54" s="751">
        <v>7.7</v>
      </c>
      <c r="E54" s="751">
        <v>7.7</v>
      </c>
      <c r="F54" s="794">
        <f t="shared" si="0"/>
        <v>0</v>
      </c>
      <c r="G54" s="222"/>
      <c r="H54" s="220"/>
    </row>
    <row r="55" spans="1:8" ht="84">
      <c r="A55" s="816"/>
      <c r="B55" s="643" t="s">
        <v>920</v>
      </c>
      <c r="C55" s="646" t="s">
        <v>701</v>
      </c>
      <c r="D55" s="751">
        <v>4.2</v>
      </c>
      <c r="E55" s="751">
        <v>4.2</v>
      </c>
      <c r="F55" s="794">
        <f t="shared" si="0"/>
        <v>0</v>
      </c>
      <c r="G55" s="222"/>
      <c r="H55" s="220"/>
    </row>
    <row r="56" spans="1:8" ht="48">
      <c r="A56" s="816"/>
      <c r="B56" s="643" t="s">
        <v>921</v>
      </c>
      <c r="C56" s="646" t="s">
        <v>900</v>
      </c>
      <c r="D56" s="751">
        <v>581.1</v>
      </c>
      <c r="E56" s="751">
        <v>581.1</v>
      </c>
      <c r="F56" s="794">
        <f t="shared" si="0"/>
        <v>0</v>
      </c>
      <c r="G56" s="222"/>
      <c r="H56" s="220"/>
    </row>
    <row r="57" spans="1:8" ht="48">
      <c r="A57" s="816"/>
      <c r="B57" s="642" t="s">
        <v>922</v>
      </c>
      <c r="C57" s="646" t="s">
        <v>698</v>
      </c>
      <c r="D57" s="751">
        <v>10.5</v>
      </c>
      <c r="E57" s="751">
        <v>10.5</v>
      </c>
      <c r="F57" s="794">
        <f t="shared" si="0"/>
        <v>0</v>
      </c>
      <c r="G57" s="222"/>
      <c r="H57" s="220"/>
    </row>
    <row r="58" spans="1:8" ht="48">
      <c r="A58" s="816"/>
      <c r="B58" s="643" t="s">
        <v>1166</v>
      </c>
      <c r="C58" s="646" t="s">
        <v>702</v>
      </c>
      <c r="D58" s="751">
        <v>3.3</v>
      </c>
      <c r="E58" s="751">
        <v>3.3</v>
      </c>
      <c r="F58" s="794">
        <f t="shared" si="0"/>
        <v>0</v>
      </c>
      <c r="G58" s="222"/>
      <c r="H58" s="220"/>
    </row>
    <row r="59" spans="1:8" ht="48">
      <c r="A59" s="816"/>
      <c r="B59" s="643" t="s">
        <v>923</v>
      </c>
      <c r="C59" s="646" t="s">
        <v>702</v>
      </c>
      <c r="D59" s="751">
        <v>92.3</v>
      </c>
      <c r="E59" s="751">
        <v>92.3</v>
      </c>
      <c r="F59" s="794">
        <f t="shared" si="0"/>
        <v>0</v>
      </c>
      <c r="G59" s="222"/>
      <c r="H59" s="220"/>
    </row>
    <row r="60" spans="1:8" ht="48">
      <c r="A60" s="816"/>
      <c r="B60" s="642" t="s">
        <v>924</v>
      </c>
      <c r="C60" s="646" t="s">
        <v>699</v>
      </c>
      <c r="D60" s="751">
        <v>20.6</v>
      </c>
      <c r="E60" s="751">
        <v>20.6</v>
      </c>
      <c r="F60" s="794">
        <f t="shared" si="0"/>
        <v>0</v>
      </c>
      <c r="G60" s="222"/>
      <c r="H60" s="220"/>
    </row>
    <row r="61" spans="1:8" ht="48">
      <c r="A61" s="816"/>
      <c r="B61" s="642" t="s">
        <v>925</v>
      </c>
      <c r="C61" s="646" t="s">
        <v>699</v>
      </c>
      <c r="D61" s="751">
        <v>468.90000000000003</v>
      </c>
      <c r="E61" s="751">
        <v>468.90000000000003</v>
      </c>
      <c r="F61" s="794">
        <f t="shared" si="0"/>
        <v>0</v>
      </c>
      <c r="G61" s="222"/>
      <c r="H61" s="220"/>
    </row>
    <row r="62" spans="1:8" ht="46.5" customHeight="1">
      <c r="A62" s="816"/>
      <c r="B62" s="645" t="s">
        <v>926</v>
      </c>
      <c r="C62" s="648" t="s">
        <v>782</v>
      </c>
      <c r="D62" s="751">
        <v>106.1</v>
      </c>
      <c r="E62" s="751">
        <v>106.1</v>
      </c>
      <c r="F62" s="794">
        <f t="shared" si="0"/>
        <v>0</v>
      </c>
      <c r="G62" s="222"/>
      <c r="H62" s="220"/>
    </row>
    <row r="63" spans="1:8" ht="50.25" customHeight="1">
      <c r="A63" s="816"/>
      <c r="B63" s="642" t="s">
        <v>927</v>
      </c>
      <c r="C63" s="647" t="s">
        <v>765</v>
      </c>
      <c r="D63" s="751">
        <v>1.4</v>
      </c>
      <c r="E63" s="751">
        <v>1.4</v>
      </c>
      <c r="F63" s="794">
        <f t="shared" si="0"/>
        <v>0</v>
      </c>
      <c r="G63" s="222"/>
      <c r="H63" s="220"/>
    </row>
    <row r="64" spans="1:8" ht="50.25" customHeight="1">
      <c r="A64" s="816"/>
      <c r="B64" s="642" t="s">
        <v>928</v>
      </c>
      <c r="C64" s="647" t="s">
        <v>765</v>
      </c>
      <c r="D64" s="751">
        <v>87.9</v>
      </c>
      <c r="E64" s="751">
        <v>87.9</v>
      </c>
      <c r="F64" s="794">
        <f t="shared" si="0"/>
        <v>0</v>
      </c>
      <c r="G64" s="222"/>
      <c r="H64" s="220"/>
    </row>
    <row r="65" spans="1:8" ht="48">
      <c r="A65" s="816"/>
      <c r="B65" s="642" t="s">
        <v>929</v>
      </c>
      <c r="C65" s="647" t="s">
        <v>765</v>
      </c>
      <c r="D65" s="751">
        <v>2.7</v>
      </c>
      <c r="E65" s="751">
        <v>2.7</v>
      </c>
      <c r="F65" s="794">
        <f t="shared" si="0"/>
        <v>0</v>
      </c>
      <c r="G65" s="222"/>
      <c r="H65" s="220"/>
    </row>
    <row r="66" spans="1:8" ht="48">
      <c r="A66" s="747"/>
      <c r="B66" s="642" t="s">
        <v>930</v>
      </c>
      <c r="C66" s="649" t="s">
        <v>766</v>
      </c>
      <c r="D66" s="751">
        <v>479</v>
      </c>
      <c r="E66" s="751">
        <v>479</v>
      </c>
      <c r="F66" s="794">
        <f t="shared" si="0"/>
        <v>0</v>
      </c>
      <c r="G66" s="222"/>
      <c r="H66" s="220"/>
    </row>
    <row r="67" spans="1:8">
      <c r="A67" s="593">
        <v>9</v>
      </c>
      <c r="B67" s="549" t="s">
        <v>1063</v>
      </c>
      <c r="C67" s="229" t="s">
        <v>260</v>
      </c>
      <c r="D67" s="230">
        <f>D68+D69</f>
        <v>1200</v>
      </c>
      <c r="E67" s="230">
        <f>E68+E69</f>
        <v>1200</v>
      </c>
      <c r="F67" s="794">
        <f t="shared" si="0"/>
        <v>0</v>
      </c>
      <c r="G67" s="222"/>
      <c r="H67" s="220"/>
    </row>
    <row r="68" spans="1:8">
      <c r="A68" s="596"/>
      <c r="B68" s="550" t="s">
        <v>261</v>
      </c>
      <c r="C68" s="360" t="s">
        <v>116</v>
      </c>
      <c r="D68" s="361">
        <v>331.9</v>
      </c>
      <c r="E68" s="361">
        <v>331.9</v>
      </c>
      <c r="F68" s="794">
        <f t="shared" si="0"/>
        <v>0</v>
      </c>
    </row>
    <row r="69" spans="1:8">
      <c r="A69" s="231"/>
      <c r="B69" s="550" t="s">
        <v>1054</v>
      </c>
      <c r="C69" s="360" t="s">
        <v>116</v>
      </c>
      <c r="D69" s="764">
        <v>868.1</v>
      </c>
      <c r="E69" s="764">
        <v>868.1</v>
      </c>
      <c r="F69" s="794">
        <f t="shared" si="0"/>
        <v>0</v>
      </c>
    </row>
    <row r="72" spans="1:8">
      <c r="F72" s="225"/>
    </row>
    <row r="75" spans="1:8">
      <c r="F75" s="225"/>
    </row>
    <row r="76" spans="1:8">
      <c r="F76" s="225"/>
    </row>
    <row r="77" spans="1:8">
      <c r="F77" s="225"/>
    </row>
    <row r="78" spans="1:8">
      <c r="F78" s="225"/>
    </row>
    <row r="80" spans="1:8">
      <c r="B80" s="220"/>
      <c r="C80" s="220"/>
      <c r="D80" s="220"/>
      <c r="H80" s="220"/>
    </row>
    <row r="81" spans="2:8">
      <c r="B81" s="220"/>
      <c r="C81" s="220"/>
      <c r="D81" s="220"/>
      <c r="F81" s="225"/>
      <c r="H81" s="220"/>
    </row>
    <row r="82" spans="2:8">
      <c r="B82" s="220"/>
      <c r="C82" s="220"/>
      <c r="D82" s="220"/>
      <c r="F82" s="225"/>
      <c r="H82" s="220"/>
    </row>
    <row r="83" spans="2:8">
      <c r="B83" s="220"/>
      <c r="C83" s="220"/>
      <c r="D83" s="220"/>
      <c r="H83" s="220"/>
    </row>
    <row r="84" spans="2:8">
      <c r="B84" s="220"/>
      <c r="C84" s="220"/>
      <c r="D84" s="220"/>
      <c r="H84" s="220"/>
    </row>
  </sheetData>
  <mergeCells count="14">
    <mergeCell ref="B11:C11"/>
    <mergeCell ref="C5:D5"/>
    <mergeCell ref="C6:D6"/>
    <mergeCell ref="C2:D2"/>
    <mergeCell ref="C3:D3"/>
    <mergeCell ref="C4:D4"/>
    <mergeCell ref="B8:D8"/>
    <mergeCell ref="A48:A65"/>
    <mergeCell ref="A44:A46"/>
    <mergeCell ref="A13:A17"/>
    <mergeCell ref="A20:A23"/>
    <mergeCell ref="A25:A27"/>
    <mergeCell ref="A31:A35"/>
    <mergeCell ref="A39:A40"/>
  </mergeCells>
  <phoneticPr fontId="14" type="noConversion"/>
  <pageMargins left="1.1417322834645669" right="0.35433070866141736" top="0.59055118110236227" bottom="0.59055118110236227" header="0" footer="0"/>
  <pageSetup paperSize="9" scale="5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R37"/>
  <sheetViews>
    <sheetView view="pageBreakPreview" zoomScale="73" zoomScaleSheetLayoutView="73" workbookViewId="0">
      <selection activeCell="K42" sqref="K42"/>
    </sheetView>
  </sheetViews>
  <sheetFormatPr defaultRowHeight="12.75"/>
  <cols>
    <col min="1" max="1" width="27" style="4" customWidth="1"/>
    <col min="2" max="2" width="53.28515625" style="4" customWidth="1"/>
    <col min="3" max="4" width="15.5703125" style="4" customWidth="1"/>
    <col min="5" max="5" width="9.140625" style="4"/>
    <col min="6" max="6" width="10.85546875" style="4" customWidth="1"/>
    <col min="7" max="7" width="9.140625" style="4"/>
    <col min="8" max="8" width="9.42578125" style="4" bestFit="1" customWidth="1"/>
    <col min="9" max="10" width="9.140625" style="4"/>
    <col min="11" max="11" width="71.5703125" style="4" customWidth="1"/>
    <col min="12" max="12" width="9.28515625" style="4" bestFit="1" customWidth="1"/>
    <col min="13" max="16" width="9.140625" style="4"/>
    <col min="17" max="20" width="15.7109375" style="4" bestFit="1" customWidth="1"/>
    <col min="21" max="16384" width="9.140625" style="4"/>
  </cols>
  <sheetData>
    <row r="1" spans="1:7">
      <c r="D1" s="676" t="s">
        <v>372</v>
      </c>
    </row>
    <row r="2" spans="1:7">
      <c r="D2" s="6" t="s">
        <v>141</v>
      </c>
    </row>
    <row r="3" spans="1:7">
      <c r="D3" s="6" t="s">
        <v>240</v>
      </c>
    </row>
    <row r="4" spans="1:7">
      <c r="A4" s="12"/>
      <c r="D4" s="6" t="s">
        <v>104</v>
      </c>
    </row>
    <row r="5" spans="1:7">
      <c r="A5" s="17"/>
      <c r="D5" s="6" t="s">
        <v>241</v>
      </c>
    </row>
    <row r="6" spans="1:7">
      <c r="A6" s="18"/>
      <c r="C6" s="6"/>
      <c r="D6" s="765" t="s">
        <v>1187</v>
      </c>
    </row>
    <row r="7" spans="1:7">
      <c r="A7" s="18"/>
      <c r="B7" s="832" t="s">
        <v>1207</v>
      </c>
      <c r="C7" s="832"/>
      <c r="D7" s="832"/>
    </row>
    <row r="8" spans="1:7">
      <c r="A8" s="8"/>
      <c r="B8" s="8"/>
      <c r="C8" s="8"/>
      <c r="D8" s="8"/>
    </row>
    <row r="9" spans="1:7" ht="12.75" customHeight="1">
      <c r="A9" s="862" t="s">
        <v>1181</v>
      </c>
      <c r="B9" s="862"/>
      <c r="C9" s="862"/>
      <c r="D9" s="862"/>
    </row>
    <row r="10" spans="1:7" ht="26.25" customHeight="1">
      <c r="A10" s="862"/>
      <c r="B10" s="862"/>
      <c r="C10" s="862"/>
      <c r="D10" s="862"/>
    </row>
    <row r="11" spans="1:7">
      <c r="A11" s="19"/>
      <c r="D11" s="6" t="s">
        <v>105</v>
      </c>
    </row>
    <row r="12" spans="1:7">
      <c r="A12" s="864" t="s">
        <v>48</v>
      </c>
      <c r="B12" s="864" t="s">
        <v>146</v>
      </c>
      <c r="C12" s="379" t="s">
        <v>939</v>
      </c>
      <c r="D12" s="379" t="s">
        <v>1180</v>
      </c>
    </row>
    <row r="13" spans="1:7" ht="21" customHeight="1">
      <c r="A13" s="865"/>
      <c r="B13" s="865"/>
      <c r="C13" s="13" t="s">
        <v>49</v>
      </c>
      <c r="D13" s="13" t="s">
        <v>49</v>
      </c>
    </row>
    <row r="14" spans="1:7">
      <c r="A14" s="24" t="s">
        <v>60</v>
      </c>
      <c r="B14" s="9" t="s">
        <v>50</v>
      </c>
      <c r="C14" s="189">
        <f>C15</f>
        <v>0</v>
      </c>
      <c r="D14" s="189">
        <f>D15</f>
        <v>0</v>
      </c>
      <c r="G14" s="201"/>
    </row>
    <row r="15" spans="1:7" s="5" customFormat="1" ht="25.5">
      <c r="A15" s="25" t="s">
        <v>61</v>
      </c>
      <c r="B15" s="15" t="s">
        <v>51</v>
      </c>
      <c r="C15" s="190">
        <f>C16-C24</f>
        <v>0</v>
      </c>
      <c r="D15" s="190">
        <v>0</v>
      </c>
    </row>
    <row r="16" spans="1:7" s="5" customFormat="1" ht="25.5">
      <c r="A16" s="25" t="s">
        <v>62</v>
      </c>
      <c r="B16" s="15" t="s">
        <v>142</v>
      </c>
      <c r="C16" s="190">
        <f>C17+C18</f>
        <v>0</v>
      </c>
      <c r="D16" s="190">
        <f>D17+D18</f>
        <v>0</v>
      </c>
      <c r="F16" s="202"/>
    </row>
    <row r="17" spans="1:4" ht="42" customHeight="1">
      <c r="A17" s="24" t="s">
        <v>63</v>
      </c>
      <c r="B17" s="9" t="s">
        <v>117</v>
      </c>
      <c r="C17" s="189">
        <v>0</v>
      </c>
      <c r="D17" s="189">
        <v>0</v>
      </c>
    </row>
    <row r="18" spans="1:4" ht="38.25">
      <c r="A18" s="24" t="s">
        <v>64</v>
      </c>
      <c r="B18" s="9" t="s">
        <v>118</v>
      </c>
      <c r="C18" s="189">
        <v>0</v>
      </c>
      <c r="D18" s="189">
        <v>0</v>
      </c>
    </row>
    <row r="19" spans="1:4" ht="38.25">
      <c r="A19" s="24" t="s">
        <v>65</v>
      </c>
      <c r="B19" s="9" t="s">
        <v>4</v>
      </c>
      <c r="C19" s="189">
        <v>0</v>
      </c>
      <c r="D19" s="189">
        <v>0</v>
      </c>
    </row>
    <row r="20" spans="1:4" ht="38.25">
      <c r="A20" s="24" t="s">
        <v>66</v>
      </c>
      <c r="B20" s="9" t="s">
        <v>5</v>
      </c>
      <c r="C20" s="189">
        <v>0</v>
      </c>
      <c r="D20" s="189">
        <v>0</v>
      </c>
    </row>
    <row r="21" spans="1:4" ht="25.5">
      <c r="A21" s="25" t="s">
        <v>337</v>
      </c>
      <c r="B21" s="15" t="s">
        <v>338</v>
      </c>
      <c r="C21" s="190">
        <v>0</v>
      </c>
      <c r="D21" s="190">
        <v>0</v>
      </c>
    </row>
    <row r="22" spans="1:4" ht="25.5">
      <c r="A22" s="24" t="s">
        <v>373</v>
      </c>
      <c r="B22" s="433" t="s">
        <v>113</v>
      </c>
      <c r="C22" s="189">
        <v>0</v>
      </c>
      <c r="D22" s="117">
        <v>0</v>
      </c>
    </row>
    <row r="23" spans="1:4" ht="25.5">
      <c r="A23" s="24" t="s">
        <v>374</v>
      </c>
      <c r="B23" s="433" t="s">
        <v>114</v>
      </c>
      <c r="C23" s="189">
        <v>0</v>
      </c>
      <c r="D23" s="117">
        <v>0</v>
      </c>
    </row>
    <row r="24" spans="1:4" ht="25.5">
      <c r="A24" s="25" t="s">
        <v>67</v>
      </c>
      <c r="B24" s="15" t="s">
        <v>119</v>
      </c>
      <c r="C24" s="190">
        <f>C25+C26</f>
        <v>0</v>
      </c>
      <c r="D24" s="190">
        <f>D25+D26</f>
        <v>0</v>
      </c>
    </row>
    <row r="25" spans="1:4">
      <c r="A25" s="24" t="s">
        <v>68</v>
      </c>
      <c r="B25" s="433" t="s">
        <v>120</v>
      </c>
      <c r="C25" s="191">
        <f>C27</f>
        <v>-1352142.75</v>
      </c>
      <c r="D25" s="437">
        <f>D27</f>
        <v>-1340355.7799999998</v>
      </c>
    </row>
    <row r="26" spans="1:4">
      <c r="A26" s="24" t="s">
        <v>230</v>
      </c>
      <c r="B26" s="433" t="s">
        <v>121</v>
      </c>
      <c r="C26" s="191">
        <f>C30</f>
        <v>1352142.7500000002</v>
      </c>
      <c r="D26" s="437">
        <f>D29</f>
        <v>1340355.7799999998</v>
      </c>
    </row>
    <row r="27" spans="1:4">
      <c r="A27" s="24" t="s">
        <v>231</v>
      </c>
      <c r="B27" s="433" t="s">
        <v>54</v>
      </c>
      <c r="C27" s="191">
        <f>C28</f>
        <v>-1352142.75</v>
      </c>
      <c r="D27" s="437">
        <f>D28</f>
        <v>-1340355.7799999998</v>
      </c>
    </row>
    <row r="28" spans="1:4">
      <c r="A28" s="24" t="s">
        <v>232</v>
      </c>
      <c r="B28" s="433" t="s">
        <v>55</v>
      </c>
      <c r="C28" s="191">
        <f>-C29</f>
        <v>-1352142.75</v>
      </c>
      <c r="D28" s="191">
        <f>-D29</f>
        <v>-1340355.7799999998</v>
      </c>
    </row>
    <row r="29" spans="1:4" ht="25.5">
      <c r="A29" s="24" t="s">
        <v>233</v>
      </c>
      <c r="B29" s="433" t="s">
        <v>56</v>
      </c>
      <c r="C29" s="191">
        <f>пр.2!D11+пр.4!D12</f>
        <v>1352142.75</v>
      </c>
      <c r="D29" s="191">
        <f>пр.2!E11+пр.4!E12</f>
        <v>1340355.7799999998</v>
      </c>
    </row>
    <row r="30" spans="1:4">
      <c r="A30" s="24" t="s">
        <v>234</v>
      </c>
      <c r="B30" s="433" t="s">
        <v>57</v>
      </c>
      <c r="C30" s="191">
        <f>C31</f>
        <v>1352142.7500000002</v>
      </c>
      <c r="D30" s="191">
        <f>D31</f>
        <v>1340355.7800000003</v>
      </c>
    </row>
    <row r="31" spans="1:4">
      <c r="A31" s="192" t="s">
        <v>235</v>
      </c>
      <c r="B31" s="193" t="s">
        <v>58</v>
      </c>
      <c r="C31" s="191">
        <f>C32</f>
        <v>1352142.7500000002</v>
      </c>
      <c r="D31" s="191">
        <f>D32</f>
        <v>1340355.7800000003</v>
      </c>
    </row>
    <row r="32" spans="1:4" ht="25.5">
      <c r="A32" s="407" t="s">
        <v>236</v>
      </c>
      <c r="B32" s="433" t="s">
        <v>59</v>
      </c>
      <c r="C32" s="191">
        <f>'пр.8 2024-2026г'!G575-'пр.10 '!C18</f>
        <v>1352142.7500000002</v>
      </c>
      <c r="D32" s="191">
        <f>'пр.8 2024-2026г'!H575-'пр.10 '!D18</f>
        <v>1340355.7800000003</v>
      </c>
    </row>
    <row r="37" spans="18:18">
      <c r="R37" s="4" t="s">
        <v>86</v>
      </c>
    </row>
  </sheetData>
  <mergeCells count="4">
    <mergeCell ref="A9:D10"/>
    <mergeCell ref="A12:A13"/>
    <mergeCell ref="B12:B13"/>
    <mergeCell ref="B7:D7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K669"/>
  <sheetViews>
    <sheetView view="pageBreakPreview" topLeftCell="A485" zoomScale="85" zoomScaleSheetLayoutView="85" workbookViewId="0">
      <selection activeCell="K518" sqref="K518"/>
    </sheetView>
  </sheetViews>
  <sheetFormatPr defaultRowHeight="12.75"/>
  <cols>
    <col min="1" max="1" width="44.28515625" style="66" customWidth="1"/>
    <col min="2" max="2" width="17.5703125" style="136" customWidth="1"/>
    <col min="3" max="3" width="9.140625" style="136"/>
    <col min="4" max="4" width="9" style="136" customWidth="1"/>
    <col min="5" max="5" width="9.140625" style="136" customWidth="1"/>
    <col min="6" max="6" width="9.5703125" style="136" customWidth="1"/>
    <col min="7" max="7" width="16.28515625" style="320" customWidth="1"/>
    <col min="8" max="8" width="15.85546875" style="320" customWidth="1"/>
    <col min="9" max="9" width="15.42578125" customWidth="1"/>
    <col min="10" max="10" width="21.5703125" customWidth="1"/>
    <col min="11" max="11" width="13.42578125" customWidth="1"/>
  </cols>
  <sheetData>
    <row r="1" spans="1:10">
      <c r="D1" s="338"/>
      <c r="E1" s="4"/>
      <c r="F1" s="4"/>
      <c r="G1" s="676" t="s">
        <v>101</v>
      </c>
      <c r="H1" s="4"/>
    </row>
    <row r="2" spans="1:10">
      <c r="D2" s="338"/>
      <c r="E2" s="4"/>
      <c r="F2" s="4"/>
      <c r="G2" s="519" t="s">
        <v>141</v>
      </c>
      <c r="H2" s="4"/>
    </row>
    <row r="3" spans="1:10">
      <c r="D3" s="338"/>
      <c r="E3" s="4"/>
      <c r="F3" s="4"/>
      <c r="G3" s="519" t="s">
        <v>240</v>
      </c>
      <c r="H3" s="4"/>
    </row>
    <row r="4" spans="1:10">
      <c r="D4" s="519"/>
      <c r="E4" s="4"/>
      <c r="F4" s="4"/>
      <c r="G4" s="519" t="s">
        <v>104</v>
      </c>
      <c r="H4" s="4"/>
    </row>
    <row r="5" spans="1:10">
      <c r="D5" s="519"/>
      <c r="E5" s="4"/>
      <c r="F5" s="4"/>
      <c r="G5" s="519" t="s">
        <v>241</v>
      </c>
      <c r="H5" s="4"/>
    </row>
    <row r="6" spans="1:10">
      <c r="D6" s="519"/>
      <c r="E6" s="4"/>
      <c r="F6" s="519"/>
      <c r="G6" s="765" t="s">
        <v>1208</v>
      </c>
      <c r="H6" s="4"/>
    </row>
    <row r="7" spans="1:10">
      <c r="D7" s="521"/>
      <c r="E7" s="832" t="s">
        <v>1209</v>
      </c>
      <c r="F7" s="832"/>
      <c r="G7" s="832"/>
      <c r="H7" s="126"/>
    </row>
    <row r="8" spans="1:10" ht="32.25" customHeight="1">
      <c r="A8" s="866" t="s">
        <v>1117</v>
      </c>
      <c r="B8" s="867"/>
      <c r="C8" s="867"/>
      <c r="D8" s="867"/>
      <c r="E8" s="867"/>
      <c r="F8" s="867"/>
      <c r="G8" s="867"/>
    </row>
    <row r="9" spans="1:10">
      <c r="G9" s="321" t="s">
        <v>73</v>
      </c>
    </row>
    <row r="10" spans="1:10" s="112" customFormat="1" ht="25.5">
      <c r="A10" s="461" t="s">
        <v>146</v>
      </c>
      <c r="B10" s="461" t="s">
        <v>149</v>
      </c>
      <c r="C10" s="461" t="s">
        <v>150</v>
      </c>
      <c r="D10" s="461" t="s">
        <v>239</v>
      </c>
      <c r="E10" s="461" t="s">
        <v>147</v>
      </c>
      <c r="F10" s="461" t="s">
        <v>148</v>
      </c>
      <c r="G10" s="322" t="s">
        <v>151</v>
      </c>
      <c r="H10" s="117" t="s">
        <v>872</v>
      </c>
    </row>
    <row r="11" spans="1:10" ht="51">
      <c r="A11" s="113" t="s">
        <v>1105</v>
      </c>
      <c r="B11" s="103" t="s">
        <v>391</v>
      </c>
      <c r="C11" s="103"/>
      <c r="D11" s="103"/>
      <c r="E11" s="303"/>
      <c r="F11" s="303"/>
      <c r="G11" s="115">
        <f t="shared" ref="G11:J12" si="0">G12</f>
        <v>600</v>
      </c>
      <c r="H11" s="115">
        <f t="shared" si="0"/>
        <v>0</v>
      </c>
      <c r="I11" s="115">
        <f t="shared" si="0"/>
        <v>600</v>
      </c>
      <c r="J11" s="115">
        <f t="shared" si="0"/>
        <v>0</v>
      </c>
    </row>
    <row r="12" spans="1:10" ht="25.5">
      <c r="A12" s="176" t="s">
        <v>647</v>
      </c>
      <c r="B12" s="425" t="s">
        <v>391</v>
      </c>
      <c r="C12" s="425"/>
      <c r="D12" s="425" t="s">
        <v>140</v>
      </c>
      <c r="E12" s="514"/>
      <c r="F12" s="514"/>
      <c r="G12" s="426">
        <f t="shared" si="0"/>
        <v>600</v>
      </c>
      <c r="H12" s="426">
        <f t="shared" si="0"/>
        <v>0</v>
      </c>
      <c r="I12" s="426">
        <f t="shared" si="0"/>
        <v>600</v>
      </c>
      <c r="J12" s="426">
        <f t="shared" si="0"/>
        <v>0</v>
      </c>
    </row>
    <row r="13" spans="1:10">
      <c r="A13" s="106" t="s">
        <v>205</v>
      </c>
      <c r="B13" s="105" t="s">
        <v>391</v>
      </c>
      <c r="C13" s="105" t="s">
        <v>202</v>
      </c>
      <c r="D13" s="105" t="s">
        <v>140</v>
      </c>
      <c r="E13" s="105" t="s">
        <v>163</v>
      </c>
      <c r="F13" s="105" t="s">
        <v>152</v>
      </c>
      <c r="G13" s="323">
        <f>'пр.7 2024г'!G273</f>
        <v>600</v>
      </c>
      <c r="H13" s="323">
        <v>0</v>
      </c>
      <c r="I13" s="323">
        <f>'[3]пр.7 2024г'!I266</f>
        <v>600</v>
      </c>
      <c r="J13" s="323">
        <v>0</v>
      </c>
    </row>
    <row r="14" spans="1:10" ht="25.5">
      <c r="A14" s="113" t="s">
        <v>1106</v>
      </c>
      <c r="B14" s="103" t="s">
        <v>428</v>
      </c>
      <c r="C14" s="103"/>
      <c r="D14" s="103"/>
      <c r="E14" s="103"/>
      <c r="F14" s="103"/>
      <c r="G14" s="115">
        <f>G15+G21</f>
        <v>488.74351000000001</v>
      </c>
      <c r="H14" s="115">
        <f>H15+H21</f>
        <v>100</v>
      </c>
      <c r="I14" s="115">
        <f>I15+I21</f>
        <v>202.04082</v>
      </c>
      <c r="J14" s="115">
        <f>J15+J21</f>
        <v>100</v>
      </c>
    </row>
    <row r="15" spans="1:10" ht="51">
      <c r="A15" s="218" t="s">
        <v>1107</v>
      </c>
      <c r="B15" s="266" t="s">
        <v>624</v>
      </c>
      <c r="C15" s="219"/>
      <c r="D15" s="266">
        <v>934</v>
      </c>
      <c r="E15" s="266" t="s">
        <v>157</v>
      </c>
      <c r="F15" s="266" t="s">
        <v>161</v>
      </c>
      <c r="G15" s="324">
        <f>G16</f>
        <v>286.70269000000002</v>
      </c>
      <c r="H15" s="324">
        <f t="shared" ref="H15" si="1">H17+H19</f>
        <v>0</v>
      </c>
      <c r="I15" s="324">
        <f>I16</f>
        <v>0</v>
      </c>
      <c r="J15" s="324">
        <f t="shared" ref="J15" si="2">J17+J19</f>
        <v>0</v>
      </c>
    </row>
    <row r="16" spans="1:10" ht="25.5">
      <c r="A16" s="538" t="s">
        <v>623</v>
      </c>
      <c r="B16" s="100" t="s">
        <v>624</v>
      </c>
      <c r="C16" s="425"/>
      <c r="D16" s="514">
        <v>934</v>
      </c>
      <c r="E16" s="514" t="s">
        <v>157</v>
      </c>
      <c r="F16" s="514" t="s">
        <v>161</v>
      </c>
      <c r="G16" s="426">
        <f>G17+G19</f>
        <v>286.70269000000002</v>
      </c>
      <c r="H16" s="426">
        <f t="shared" ref="H16" si="3">H17+H19</f>
        <v>0</v>
      </c>
      <c r="I16" s="426">
        <f>I17+I19</f>
        <v>0</v>
      </c>
      <c r="J16" s="426">
        <f t="shared" ref="J16" si="4">J17+J19</f>
        <v>0</v>
      </c>
    </row>
    <row r="17" spans="1:11" s="180" customFormat="1" ht="38.25" hidden="1">
      <c r="A17" s="423" t="s">
        <v>517</v>
      </c>
      <c r="B17" s="100" t="s">
        <v>424</v>
      </c>
      <c r="C17" s="425"/>
      <c r="D17" s="105">
        <v>934</v>
      </c>
      <c r="E17" s="105" t="s">
        <v>157</v>
      </c>
      <c r="F17" s="105" t="s">
        <v>161</v>
      </c>
      <c r="G17" s="426">
        <f>G18</f>
        <v>0</v>
      </c>
      <c r="H17" s="324">
        <f>H18</f>
        <v>0</v>
      </c>
      <c r="I17" s="426">
        <f>I18</f>
        <v>0</v>
      </c>
      <c r="J17" s="324">
        <f>J18</f>
        <v>0</v>
      </c>
    </row>
    <row r="18" spans="1:11" hidden="1">
      <c r="A18" s="106" t="s">
        <v>263</v>
      </c>
      <c r="B18" s="100" t="s">
        <v>424</v>
      </c>
      <c r="C18" s="105" t="s">
        <v>262</v>
      </c>
      <c r="D18" s="105">
        <v>934</v>
      </c>
      <c r="E18" s="105" t="s">
        <v>157</v>
      </c>
      <c r="F18" s="105" t="s">
        <v>161</v>
      </c>
      <c r="G18" s="117">
        <f>'пр.7 2024г'!G309</f>
        <v>0</v>
      </c>
      <c r="H18" s="117">
        <f>G18</f>
        <v>0</v>
      </c>
      <c r="I18" s="117">
        <f>'[3]пр.7 2024г'!I297</f>
        <v>0</v>
      </c>
      <c r="J18" s="117">
        <f>I18</f>
        <v>0</v>
      </c>
    </row>
    <row r="19" spans="1:11" s="180" customFormat="1" ht="51">
      <c r="A19" s="423" t="s">
        <v>518</v>
      </c>
      <c r="B19" s="100" t="s">
        <v>424</v>
      </c>
      <c r="C19" s="105"/>
      <c r="D19" s="105">
        <v>934</v>
      </c>
      <c r="E19" s="105" t="s">
        <v>157</v>
      </c>
      <c r="F19" s="105" t="s">
        <v>161</v>
      </c>
      <c r="G19" s="117">
        <f>G20</f>
        <v>286.70269000000002</v>
      </c>
      <c r="H19" s="117">
        <v>0</v>
      </c>
      <c r="I19" s="117">
        <f>I20</f>
        <v>0</v>
      </c>
      <c r="J19" s="117">
        <v>0</v>
      </c>
    </row>
    <row r="20" spans="1:11" s="180" customFormat="1">
      <c r="A20" s="106" t="s">
        <v>263</v>
      </c>
      <c r="B20" s="100" t="s">
        <v>424</v>
      </c>
      <c r="C20" s="105" t="s">
        <v>262</v>
      </c>
      <c r="D20" s="424">
        <v>934</v>
      </c>
      <c r="E20" s="101" t="s">
        <v>157</v>
      </c>
      <c r="F20" s="101" t="s">
        <v>161</v>
      </c>
      <c r="G20" s="117">
        <f>'пр.7 2024г'!G311</f>
        <v>286.70269000000002</v>
      </c>
      <c r="H20" s="117">
        <v>0</v>
      </c>
      <c r="I20" s="117">
        <f>'[3]пр.7 2024г'!I299</f>
        <v>0</v>
      </c>
      <c r="J20" s="117">
        <v>0</v>
      </c>
    </row>
    <row r="21" spans="1:11" ht="25.5">
      <c r="A21" s="218" t="s">
        <v>1108</v>
      </c>
      <c r="B21" s="219" t="s">
        <v>773</v>
      </c>
      <c r="C21" s="219"/>
      <c r="D21" s="92" t="s">
        <v>140</v>
      </c>
      <c r="E21" s="92" t="s">
        <v>154</v>
      </c>
      <c r="F21" s="92" t="s">
        <v>154</v>
      </c>
      <c r="G21" s="324">
        <f>G22</f>
        <v>202.04082</v>
      </c>
      <c r="H21" s="324">
        <f>H22</f>
        <v>100</v>
      </c>
      <c r="I21" s="324">
        <f>I22</f>
        <v>202.04082</v>
      </c>
      <c r="J21" s="324">
        <f>J22</f>
        <v>100</v>
      </c>
    </row>
    <row r="22" spans="1:11">
      <c r="A22" s="110" t="s">
        <v>646</v>
      </c>
      <c r="B22" s="592" t="s">
        <v>393</v>
      </c>
      <c r="C22" s="92"/>
      <c r="D22" s="92" t="s">
        <v>140</v>
      </c>
      <c r="E22" s="92" t="s">
        <v>154</v>
      </c>
      <c r="F22" s="92" t="s">
        <v>154</v>
      </c>
      <c r="G22" s="281">
        <f>G23+G24+G25+G26+G28</f>
        <v>202.04082</v>
      </c>
      <c r="H22" s="281">
        <f>H25+H26+H28</f>
        <v>100</v>
      </c>
      <c r="I22" s="281">
        <f>I23+I24+I25+I26+I28</f>
        <v>202.04082</v>
      </c>
      <c r="J22" s="281">
        <f>J25+J26+J28</f>
        <v>100</v>
      </c>
    </row>
    <row r="23" spans="1:11" ht="38.25">
      <c r="A23" s="110" t="s">
        <v>209</v>
      </c>
      <c r="B23" s="592" t="s">
        <v>393</v>
      </c>
      <c r="C23" s="92" t="s">
        <v>312</v>
      </c>
      <c r="D23" s="92" t="s">
        <v>140</v>
      </c>
      <c r="E23" s="92" t="s">
        <v>154</v>
      </c>
      <c r="F23" s="92" t="s">
        <v>154</v>
      </c>
      <c r="G23" s="281">
        <f>'пр.7 2024г'!G246</f>
        <v>70</v>
      </c>
      <c r="H23" s="281">
        <v>0</v>
      </c>
      <c r="I23" s="281">
        <f>'[3]пр.7 2024г'!I246</f>
        <v>70</v>
      </c>
      <c r="J23" s="281">
        <v>0</v>
      </c>
    </row>
    <row r="24" spans="1:11">
      <c r="A24" s="106" t="s">
        <v>130</v>
      </c>
      <c r="B24" s="592" t="s">
        <v>393</v>
      </c>
      <c r="C24" s="92" t="s">
        <v>746</v>
      </c>
      <c r="D24" s="92" t="s">
        <v>140</v>
      </c>
      <c r="E24" s="92" t="s">
        <v>154</v>
      </c>
      <c r="F24" s="92" t="s">
        <v>154</v>
      </c>
      <c r="G24" s="281">
        <f>'пр.7 2024г'!G247</f>
        <v>30</v>
      </c>
      <c r="H24" s="281">
        <v>0</v>
      </c>
      <c r="I24" s="281">
        <f>'[3]пр.7 2024г'!I247</f>
        <v>30</v>
      </c>
      <c r="J24" s="281">
        <v>0</v>
      </c>
    </row>
    <row r="25" spans="1:11" ht="38.25" hidden="1">
      <c r="A25" s="110" t="s">
        <v>209</v>
      </c>
      <c r="B25" s="592" t="s">
        <v>393</v>
      </c>
      <c r="C25" s="92" t="s">
        <v>312</v>
      </c>
      <c r="D25" s="92" t="s">
        <v>82</v>
      </c>
      <c r="E25" s="92" t="s">
        <v>154</v>
      </c>
      <c r="F25" s="92" t="s">
        <v>156</v>
      </c>
      <c r="G25" s="281">
        <f>'пр.7 2024г'!G618</f>
        <v>0</v>
      </c>
      <c r="H25" s="117">
        <v>0</v>
      </c>
      <c r="I25" s="281">
        <f>'[3]пр.7 2024г'!I602</f>
        <v>0</v>
      </c>
      <c r="J25" s="117">
        <v>0</v>
      </c>
    </row>
    <row r="26" spans="1:11" ht="25.5">
      <c r="A26" s="423" t="s">
        <v>770</v>
      </c>
      <c r="B26" s="92" t="s">
        <v>774</v>
      </c>
      <c r="C26" s="92"/>
      <c r="D26" s="92" t="s">
        <v>140</v>
      </c>
      <c r="E26" s="92" t="s">
        <v>154</v>
      </c>
      <c r="F26" s="92" t="s">
        <v>154</v>
      </c>
      <c r="G26" s="281">
        <f>G27</f>
        <v>100</v>
      </c>
      <c r="H26" s="117">
        <f>H27</f>
        <v>100</v>
      </c>
      <c r="I26" s="281">
        <f>I27</f>
        <v>100</v>
      </c>
      <c r="J26" s="117">
        <f>J27</f>
        <v>100</v>
      </c>
    </row>
    <row r="27" spans="1:11" ht="38.25">
      <c r="A27" s="110" t="s">
        <v>209</v>
      </c>
      <c r="B27" s="92" t="s">
        <v>774</v>
      </c>
      <c r="C27" s="92" t="s">
        <v>312</v>
      </c>
      <c r="D27" s="92" t="s">
        <v>140</v>
      </c>
      <c r="E27" s="92" t="s">
        <v>154</v>
      </c>
      <c r="F27" s="92" t="s">
        <v>154</v>
      </c>
      <c r="G27" s="281">
        <f>'пр.7 2024г'!G249</f>
        <v>100</v>
      </c>
      <c r="H27" s="117">
        <f>G27</f>
        <v>100</v>
      </c>
      <c r="I27" s="281">
        <f>'[3]пр.7 2024г'!I249</f>
        <v>100</v>
      </c>
      <c r="J27" s="117">
        <f>I27</f>
        <v>100</v>
      </c>
    </row>
    <row r="28" spans="1:11" ht="38.25">
      <c r="A28" s="110" t="s">
        <v>775</v>
      </c>
      <c r="B28" s="92" t="s">
        <v>774</v>
      </c>
      <c r="C28" s="92"/>
      <c r="D28" s="92" t="s">
        <v>140</v>
      </c>
      <c r="E28" s="92" t="s">
        <v>154</v>
      </c>
      <c r="F28" s="92" t="s">
        <v>154</v>
      </c>
      <c r="G28" s="281">
        <f>G29</f>
        <v>2.0408200000000001</v>
      </c>
      <c r="H28" s="117">
        <v>0</v>
      </c>
      <c r="I28" s="281">
        <f>I29</f>
        <v>2.0408200000000001</v>
      </c>
      <c r="J28" s="117">
        <v>0</v>
      </c>
    </row>
    <row r="29" spans="1:11">
      <c r="A29" s="106" t="s">
        <v>205</v>
      </c>
      <c r="B29" s="92" t="s">
        <v>774</v>
      </c>
      <c r="C29" s="92" t="s">
        <v>202</v>
      </c>
      <c r="D29" s="92" t="s">
        <v>140</v>
      </c>
      <c r="E29" s="92" t="s">
        <v>154</v>
      </c>
      <c r="F29" s="92" t="s">
        <v>154</v>
      </c>
      <c r="G29" s="281">
        <f>'пр.7 2024г'!G251</f>
        <v>2.0408200000000001</v>
      </c>
      <c r="H29" s="117">
        <v>0</v>
      </c>
      <c r="I29" s="281">
        <f>'[3]пр.7 2024г'!I251</f>
        <v>2.0408200000000001</v>
      </c>
      <c r="J29" s="117">
        <v>0</v>
      </c>
    </row>
    <row r="30" spans="1:11" s="121" customFormat="1" ht="38.25">
      <c r="A30" s="113" t="s">
        <v>1109</v>
      </c>
      <c r="B30" s="103" t="s">
        <v>404</v>
      </c>
      <c r="C30" s="103"/>
      <c r="D30" s="103">
        <v>934</v>
      </c>
      <c r="E30" s="103"/>
      <c r="F30" s="103"/>
      <c r="G30" s="115">
        <f>G31</f>
        <v>106410.14971</v>
      </c>
      <c r="H30" s="115">
        <f>H31</f>
        <v>49884.9</v>
      </c>
      <c r="I30" s="115">
        <f>I31</f>
        <v>94394.490709999998</v>
      </c>
      <c r="J30" s="115">
        <f>J31</f>
        <v>38644.400000000001</v>
      </c>
    </row>
    <row r="31" spans="1:11" s="121" customFormat="1" ht="43.5" customHeight="1">
      <c r="A31" s="113" t="s">
        <v>682</v>
      </c>
      <c r="B31" s="103" t="s">
        <v>404</v>
      </c>
      <c r="C31" s="103"/>
      <c r="D31" s="103">
        <v>934</v>
      </c>
      <c r="E31" s="103" t="s">
        <v>681</v>
      </c>
      <c r="F31" s="103" t="s">
        <v>790</v>
      </c>
      <c r="G31" s="115">
        <f>G32+G34+G36+G37+G39+G42+G44+G50+G46+G48+G41</f>
        <v>106410.14971</v>
      </c>
      <c r="H31" s="115">
        <f>H32+H34+H36+H37+H39+H42+H44+H50+H46+H48</f>
        <v>49884.9</v>
      </c>
      <c r="I31" s="115">
        <f>I32+I34+I36+I37+I39+I41+I43+I45</f>
        <v>94394.490709999998</v>
      </c>
      <c r="J31" s="115">
        <f>J32+J34+J36+J37+J39+J41+J43+J45</f>
        <v>38644.400000000001</v>
      </c>
    </row>
    <row r="32" spans="1:11" s="66" customFormat="1" ht="102">
      <c r="A32" s="108" t="s">
        <v>122</v>
      </c>
      <c r="B32" s="101" t="s">
        <v>490</v>
      </c>
      <c r="C32" s="101"/>
      <c r="D32" s="104" t="s">
        <v>140</v>
      </c>
      <c r="E32" s="104" t="s">
        <v>154</v>
      </c>
      <c r="F32" s="104" t="s">
        <v>155</v>
      </c>
      <c r="G32" s="116">
        <f>G33</f>
        <v>8553.2000000000007</v>
      </c>
      <c r="H32" s="116">
        <f t="shared" ref="H32" si="5">H33</f>
        <v>8553.2000000000007</v>
      </c>
      <c r="I32" s="116">
        <f>I33</f>
        <v>8553.2000000000007</v>
      </c>
      <c r="J32" s="116">
        <f t="shared" ref="J32" si="6">J33</f>
        <v>8553.2000000000007</v>
      </c>
      <c r="K32" s="264"/>
    </row>
    <row r="33" spans="1:11" s="66" customFormat="1">
      <c r="A33" s="106" t="s">
        <v>269</v>
      </c>
      <c r="B33" s="100" t="s">
        <v>490</v>
      </c>
      <c r="C33" s="100" t="s">
        <v>270</v>
      </c>
      <c r="D33" s="105" t="s">
        <v>140</v>
      </c>
      <c r="E33" s="105" t="s">
        <v>154</v>
      </c>
      <c r="F33" s="105" t="s">
        <v>155</v>
      </c>
      <c r="G33" s="116">
        <f>'пр.7 2024г'!G238</f>
        <v>8553.2000000000007</v>
      </c>
      <c r="H33" s="117">
        <f>G33</f>
        <v>8553.2000000000007</v>
      </c>
      <c r="I33" s="116">
        <f>'[3]пр.7 2024г'!I238</f>
        <v>8553.2000000000007</v>
      </c>
      <c r="J33" s="117">
        <f>I33</f>
        <v>8553.2000000000007</v>
      </c>
      <c r="K33" s="264"/>
    </row>
    <row r="34" spans="1:11" s="66" customFormat="1" ht="102">
      <c r="A34" s="106" t="s">
        <v>489</v>
      </c>
      <c r="B34" s="100" t="s">
        <v>490</v>
      </c>
      <c r="C34" s="101"/>
      <c r="D34" s="104" t="s">
        <v>140</v>
      </c>
      <c r="E34" s="104" t="s">
        <v>154</v>
      </c>
      <c r="F34" s="104" t="s">
        <v>155</v>
      </c>
      <c r="G34" s="116">
        <f>G35</f>
        <v>3500</v>
      </c>
      <c r="H34" s="117">
        <v>0</v>
      </c>
      <c r="I34" s="116">
        <f>I35</f>
        <v>3500</v>
      </c>
      <c r="J34" s="117">
        <v>0</v>
      </c>
      <c r="K34" s="264"/>
    </row>
    <row r="35" spans="1:11" s="66" customFormat="1">
      <c r="A35" s="106" t="s">
        <v>269</v>
      </c>
      <c r="B35" s="100" t="s">
        <v>490</v>
      </c>
      <c r="C35" s="100" t="s">
        <v>270</v>
      </c>
      <c r="D35" s="105" t="s">
        <v>140</v>
      </c>
      <c r="E35" s="105" t="s">
        <v>154</v>
      </c>
      <c r="F35" s="105" t="s">
        <v>155</v>
      </c>
      <c r="G35" s="116">
        <f>'пр.7 2024г'!G240</f>
        <v>3500</v>
      </c>
      <c r="H35" s="117">
        <v>0</v>
      </c>
      <c r="I35" s="116">
        <f>'[3]пр.7 2024г'!I240</f>
        <v>3500</v>
      </c>
      <c r="J35" s="117">
        <v>0</v>
      </c>
      <c r="K35" s="264"/>
    </row>
    <row r="36" spans="1:11" s="66" customFormat="1">
      <c r="A36" s="106" t="s">
        <v>267</v>
      </c>
      <c r="B36" s="92" t="s">
        <v>392</v>
      </c>
      <c r="C36" s="100" t="s">
        <v>320</v>
      </c>
      <c r="D36" s="105" t="s">
        <v>140</v>
      </c>
      <c r="E36" s="92" t="s">
        <v>154</v>
      </c>
      <c r="F36" s="92" t="s">
        <v>155</v>
      </c>
      <c r="G36" s="116">
        <f>'пр.7 2024г'!G241</f>
        <v>10529.6</v>
      </c>
      <c r="H36" s="116">
        <v>0</v>
      </c>
      <c r="I36" s="116">
        <f>'[3]пр.7 2024г'!I241</f>
        <v>10529.6</v>
      </c>
      <c r="J36" s="116">
        <v>0</v>
      </c>
      <c r="K36" s="264"/>
    </row>
    <row r="37" spans="1:11" ht="51">
      <c r="A37" s="40" t="s">
        <v>97</v>
      </c>
      <c r="B37" s="100" t="s">
        <v>394</v>
      </c>
      <c r="C37" s="101"/>
      <c r="D37" s="104" t="s">
        <v>140</v>
      </c>
      <c r="E37" s="104" t="s">
        <v>163</v>
      </c>
      <c r="F37" s="104" t="s">
        <v>152</v>
      </c>
      <c r="G37" s="325">
        <f>G38</f>
        <v>19913.099999999999</v>
      </c>
      <c r="H37" s="325">
        <f t="shared" ref="H37" si="7">H38</f>
        <v>0</v>
      </c>
      <c r="I37" s="325">
        <f>I38</f>
        <v>19913.099999999999</v>
      </c>
      <c r="J37" s="325">
        <f t="shared" ref="J37" si="8">J38</f>
        <v>0</v>
      </c>
    </row>
    <row r="38" spans="1:11" ht="51">
      <c r="A38" s="106" t="s">
        <v>204</v>
      </c>
      <c r="B38" s="100" t="s">
        <v>394</v>
      </c>
      <c r="C38" s="100" t="s">
        <v>319</v>
      </c>
      <c r="D38" s="105" t="s">
        <v>140</v>
      </c>
      <c r="E38" s="105" t="s">
        <v>163</v>
      </c>
      <c r="F38" s="105" t="s">
        <v>152</v>
      </c>
      <c r="G38" s="116">
        <f>'пр.7 2024г'!G260</f>
        <v>19913.099999999999</v>
      </c>
      <c r="H38" s="117">
        <v>0</v>
      </c>
      <c r="I38" s="116">
        <f>'[3]пр.7 2024г'!I257</f>
        <v>19913.099999999999</v>
      </c>
      <c r="J38" s="117">
        <v>0</v>
      </c>
    </row>
    <row r="39" spans="1:11" ht="51">
      <c r="A39" s="40" t="s">
        <v>97</v>
      </c>
      <c r="B39" s="100" t="s">
        <v>395</v>
      </c>
      <c r="C39" s="100"/>
      <c r="D39" s="104" t="s">
        <v>140</v>
      </c>
      <c r="E39" s="104" t="s">
        <v>163</v>
      </c>
      <c r="F39" s="104" t="s">
        <v>152</v>
      </c>
      <c r="G39" s="116">
        <f>G40</f>
        <v>4869.3907099999997</v>
      </c>
      <c r="H39" s="116">
        <f t="shared" ref="H39" si="9">H40</f>
        <v>0</v>
      </c>
      <c r="I39" s="116">
        <f>I40</f>
        <v>4869.3907099999997</v>
      </c>
      <c r="J39" s="116">
        <f t="shared" ref="J39" si="10">J40</f>
        <v>0</v>
      </c>
    </row>
    <row r="40" spans="1:11" ht="51">
      <c r="A40" s="106" t="s">
        <v>204</v>
      </c>
      <c r="B40" s="100" t="s">
        <v>395</v>
      </c>
      <c r="C40" s="100" t="s">
        <v>319</v>
      </c>
      <c r="D40" s="105" t="s">
        <v>140</v>
      </c>
      <c r="E40" s="105" t="s">
        <v>163</v>
      </c>
      <c r="F40" s="105" t="s">
        <v>152</v>
      </c>
      <c r="G40" s="116">
        <f>'пр.7 2024г'!G262</f>
        <v>4869.3907099999997</v>
      </c>
      <c r="H40" s="117">
        <v>0</v>
      </c>
      <c r="I40" s="116">
        <f>'[3]пр.7 2024г'!I259</f>
        <v>4869.3907099999997</v>
      </c>
      <c r="J40" s="117">
        <v>0</v>
      </c>
    </row>
    <row r="41" spans="1:11">
      <c r="A41" s="106" t="s">
        <v>205</v>
      </c>
      <c r="B41" s="100" t="s">
        <v>395</v>
      </c>
      <c r="C41" s="100" t="s">
        <v>202</v>
      </c>
      <c r="D41" s="105" t="s">
        <v>140</v>
      </c>
      <c r="E41" s="105" t="s">
        <v>163</v>
      </c>
      <c r="F41" s="105" t="s">
        <v>152</v>
      </c>
      <c r="G41" s="116">
        <f>'пр.7 2024г'!G263</f>
        <v>775.15899999999999</v>
      </c>
      <c r="H41" s="117"/>
      <c r="I41" s="116">
        <v>0</v>
      </c>
      <c r="J41" s="116">
        <v>0</v>
      </c>
    </row>
    <row r="42" spans="1:11" ht="25.5">
      <c r="A42" s="106" t="s">
        <v>98</v>
      </c>
      <c r="B42" s="92" t="s">
        <v>530</v>
      </c>
      <c r="C42" s="100"/>
      <c r="D42" s="105" t="s">
        <v>140</v>
      </c>
      <c r="E42" s="105" t="s">
        <v>163</v>
      </c>
      <c r="F42" s="105" t="s">
        <v>152</v>
      </c>
      <c r="G42" s="116">
        <f>G43</f>
        <v>30091.200000000001</v>
      </c>
      <c r="H42" s="116">
        <f t="shared" ref="H42" si="11">H43</f>
        <v>30091.200000000001</v>
      </c>
      <c r="I42" s="116">
        <f>'[3]пр.7 2024г'!I262</f>
        <v>30091.200000000001</v>
      </c>
      <c r="J42" s="117">
        <f>I42</f>
        <v>30091.200000000001</v>
      </c>
    </row>
    <row r="43" spans="1:11">
      <c r="A43" s="106" t="s">
        <v>205</v>
      </c>
      <c r="B43" s="92" t="s">
        <v>530</v>
      </c>
      <c r="C43" s="100" t="s">
        <v>202</v>
      </c>
      <c r="D43" s="105" t="s">
        <v>140</v>
      </c>
      <c r="E43" s="105" t="s">
        <v>163</v>
      </c>
      <c r="F43" s="105" t="s">
        <v>152</v>
      </c>
      <c r="G43" s="116">
        <f>'пр.7 2024г'!G265</f>
        <v>30091.200000000001</v>
      </c>
      <c r="H43" s="117">
        <f>G43</f>
        <v>30091.200000000001</v>
      </c>
      <c r="I43" s="116">
        <v>30091.200000000001</v>
      </c>
      <c r="J43" s="117">
        <v>30091.200000000001</v>
      </c>
    </row>
    <row r="44" spans="1:11" ht="38.25">
      <c r="A44" s="106" t="s">
        <v>488</v>
      </c>
      <c r="B44" s="92" t="s">
        <v>530</v>
      </c>
      <c r="C44" s="100"/>
      <c r="D44" s="105" t="s">
        <v>140</v>
      </c>
      <c r="E44" s="105" t="s">
        <v>163</v>
      </c>
      <c r="F44" s="105" t="s">
        <v>152</v>
      </c>
      <c r="G44" s="116">
        <f>G45</f>
        <v>16938</v>
      </c>
      <c r="H44" s="117">
        <v>0</v>
      </c>
      <c r="I44" s="116">
        <f>'[3]пр.7 2024г'!I264</f>
        <v>16938</v>
      </c>
      <c r="J44" s="117">
        <v>0</v>
      </c>
    </row>
    <row r="45" spans="1:11">
      <c r="A45" s="106" t="s">
        <v>205</v>
      </c>
      <c r="B45" s="92" t="s">
        <v>530</v>
      </c>
      <c r="C45" s="100" t="s">
        <v>202</v>
      </c>
      <c r="D45" s="105" t="s">
        <v>140</v>
      </c>
      <c r="E45" s="105" t="s">
        <v>163</v>
      </c>
      <c r="F45" s="105" t="s">
        <v>152</v>
      </c>
      <c r="G45" s="116">
        <f>'пр.7 2024г'!G267</f>
        <v>16938</v>
      </c>
      <c r="H45" s="117">
        <v>0</v>
      </c>
      <c r="I45" s="116">
        <v>16938</v>
      </c>
      <c r="J45" s="116">
        <f t="shared" ref="J45" si="12">J46+J47</f>
        <v>0</v>
      </c>
    </row>
    <row r="46" spans="1:11" ht="38.25">
      <c r="A46" s="106" t="s">
        <v>1244</v>
      </c>
      <c r="B46" s="100" t="s">
        <v>1259</v>
      </c>
      <c r="C46" s="100"/>
      <c r="D46" s="105" t="s">
        <v>140</v>
      </c>
      <c r="E46" s="105" t="s">
        <v>163</v>
      </c>
      <c r="F46" s="105" t="s">
        <v>152</v>
      </c>
      <c r="G46" s="116">
        <f>G47</f>
        <v>233.6</v>
      </c>
      <c r="H46" s="117">
        <f>H47</f>
        <v>233.6</v>
      </c>
      <c r="I46" s="116">
        <v>0</v>
      </c>
      <c r="J46" s="117">
        <f>I46</f>
        <v>0</v>
      </c>
    </row>
    <row r="47" spans="1:11">
      <c r="A47" s="106" t="s">
        <v>205</v>
      </c>
      <c r="B47" s="100" t="s">
        <v>1259</v>
      </c>
      <c r="C47" s="100" t="s">
        <v>202</v>
      </c>
      <c r="D47" s="105" t="s">
        <v>140</v>
      </c>
      <c r="E47" s="105" t="s">
        <v>163</v>
      </c>
      <c r="F47" s="105" t="s">
        <v>152</v>
      </c>
      <c r="G47" s="116">
        <f>'пр.7 2024г'!G269</f>
        <v>233.6</v>
      </c>
      <c r="H47" s="117">
        <f>G47</f>
        <v>233.6</v>
      </c>
      <c r="I47" s="116">
        <v>0</v>
      </c>
      <c r="J47" s="117">
        <f>I47</f>
        <v>0</v>
      </c>
    </row>
    <row r="48" spans="1:11">
      <c r="A48" s="106" t="s">
        <v>1245</v>
      </c>
      <c r="B48" s="100" t="s">
        <v>1259</v>
      </c>
      <c r="C48" s="100"/>
      <c r="D48" s="105" t="s">
        <v>140</v>
      </c>
      <c r="E48" s="105" t="s">
        <v>163</v>
      </c>
      <c r="F48" s="105" t="s">
        <v>152</v>
      </c>
      <c r="G48" s="116">
        <f>G49</f>
        <v>10419.9</v>
      </c>
      <c r="H48" s="117">
        <f>H49</f>
        <v>10419.9</v>
      </c>
      <c r="I48" s="814"/>
      <c r="J48" s="814"/>
    </row>
    <row r="49" spans="1:10">
      <c r="A49" s="106" t="s">
        <v>205</v>
      </c>
      <c r="B49" s="100" t="s">
        <v>1259</v>
      </c>
      <c r="C49" s="100" t="s">
        <v>202</v>
      </c>
      <c r="D49" s="105" t="s">
        <v>140</v>
      </c>
      <c r="E49" s="105" t="s">
        <v>163</v>
      </c>
      <c r="F49" s="105" t="s">
        <v>152</v>
      </c>
      <c r="G49" s="116">
        <f>'пр.7 2024г'!G271</f>
        <v>10419.9</v>
      </c>
      <c r="H49" s="117">
        <f>G49</f>
        <v>10419.9</v>
      </c>
      <c r="I49" s="814"/>
      <c r="J49" s="814"/>
    </row>
    <row r="50" spans="1:10" ht="229.5">
      <c r="A50" s="21" t="s">
        <v>525</v>
      </c>
      <c r="B50" s="92" t="s">
        <v>327</v>
      </c>
      <c r="C50" s="100"/>
      <c r="D50" s="105" t="s">
        <v>140</v>
      </c>
      <c r="E50" s="105"/>
      <c r="F50" s="105"/>
      <c r="G50" s="116">
        <f>G51+G52</f>
        <v>587</v>
      </c>
      <c r="H50" s="116">
        <f t="shared" ref="H50" si="13">H51+H52</f>
        <v>587</v>
      </c>
      <c r="I50" s="116">
        <f>I51+I52</f>
        <v>587</v>
      </c>
      <c r="J50" s="116">
        <f t="shared" ref="J50" si="14">J51+J52</f>
        <v>587</v>
      </c>
    </row>
    <row r="51" spans="1:10">
      <c r="A51" s="106" t="s">
        <v>205</v>
      </c>
      <c r="B51" s="92" t="s">
        <v>327</v>
      </c>
      <c r="C51" s="100" t="s">
        <v>202</v>
      </c>
      <c r="D51" s="105" t="s">
        <v>140</v>
      </c>
      <c r="E51" s="105" t="s">
        <v>157</v>
      </c>
      <c r="F51" s="105" t="s">
        <v>155</v>
      </c>
      <c r="G51" s="116">
        <f>'пр.7 2024г'!G296</f>
        <v>384</v>
      </c>
      <c r="H51" s="117">
        <f>G51</f>
        <v>384</v>
      </c>
      <c r="I51" s="116">
        <v>384</v>
      </c>
      <c r="J51" s="117">
        <v>384</v>
      </c>
    </row>
    <row r="52" spans="1:10">
      <c r="A52" s="106" t="s">
        <v>269</v>
      </c>
      <c r="B52" s="92" t="s">
        <v>327</v>
      </c>
      <c r="C52" s="100" t="s">
        <v>270</v>
      </c>
      <c r="D52" s="105" t="s">
        <v>140</v>
      </c>
      <c r="E52" s="105" t="s">
        <v>157</v>
      </c>
      <c r="F52" s="105" t="s">
        <v>155</v>
      </c>
      <c r="G52" s="116">
        <f>'пр.7 2024г'!G297</f>
        <v>203</v>
      </c>
      <c r="H52" s="117">
        <f>G52</f>
        <v>203</v>
      </c>
      <c r="I52" s="116">
        <v>203</v>
      </c>
      <c r="J52" s="117">
        <v>203</v>
      </c>
    </row>
    <row r="53" spans="1:10" ht="38.25">
      <c r="A53" s="113" t="s">
        <v>832</v>
      </c>
      <c r="B53" s="103" t="s">
        <v>622</v>
      </c>
      <c r="C53" s="103"/>
      <c r="D53" s="103" t="s">
        <v>140</v>
      </c>
      <c r="E53" s="102"/>
      <c r="F53" s="102"/>
      <c r="G53" s="115">
        <f t="shared" ref="G53:J54" si="15">G54</f>
        <v>750</v>
      </c>
      <c r="H53" s="115">
        <f t="shared" si="15"/>
        <v>0</v>
      </c>
      <c r="I53" s="115">
        <f t="shared" si="15"/>
        <v>750</v>
      </c>
      <c r="J53" s="115">
        <f t="shared" si="15"/>
        <v>0</v>
      </c>
    </row>
    <row r="54" spans="1:10" ht="13.5">
      <c r="A54" s="113" t="s">
        <v>932</v>
      </c>
      <c r="B54" s="500" t="s">
        <v>622</v>
      </c>
      <c r="C54" s="103"/>
      <c r="D54" s="103" t="s">
        <v>140</v>
      </c>
      <c r="E54" s="102"/>
      <c r="F54" s="102"/>
      <c r="G54" s="115">
        <f t="shared" si="15"/>
        <v>750</v>
      </c>
      <c r="H54" s="115">
        <f t="shared" si="15"/>
        <v>0</v>
      </c>
      <c r="I54" s="115">
        <f t="shared" si="15"/>
        <v>750</v>
      </c>
      <c r="J54" s="115">
        <f t="shared" si="15"/>
        <v>0</v>
      </c>
    </row>
    <row r="55" spans="1:10" s="180" customFormat="1">
      <c r="A55" s="263" t="s">
        <v>205</v>
      </c>
      <c r="B55" s="514" t="s">
        <v>1050</v>
      </c>
      <c r="C55" s="100" t="s">
        <v>202</v>
      </c>
      <c r="D55" s="105" t="s">
        <v>140</v>
      </c>
      <c r="E55" s="104" t="s">
        <v>161</v>
      </c>
      <c r="F55" s="104" t="s">
        <v>159</v>
      </c>
      <c r="G55" s="323">
        <f>'пр.7 2024г'!G210</f>
        <v>750</v>
      </c>
      <c r="H55" s="323">
        <v>0</v>
      </c>
      <c r="I55" s="323">
        <v>750</v>
      </c>
      <c r="J55" s="323">
        <v>0</v>
      </c>
    </row>
    <row r="56" spans="1:10" ht="56.25" customHeight="1">
      <c r="A56" s="113" t="s">
        <v>1104</v>
      </c>
      <c r="B56" s="102" t="s">
        <v>398</v>
      </c>
      <c r="C56" s="103"/>
      <c r="D56" s="103" t="s">
        <v>140</v>
      </c>
      <c r="E56" s="102"/>
      <c r="F56" s="102"/>
      <c r="G56" s="115">
        <f>G57+G62+G67+G77</f>
        <v>4093.4870000000001</v>
      </c>
      <c r="H56" s="115">
        <f>H57+H62+H67+H77</f>
        <v>549</v>
      </c>
      <c r="I56" s="115">
        <f>I57+I62+I67+I77</f>
        <v>4111.4870000000001</v>
      </c>
      <c r="J56" s="115">
        <f>J57+J62+J67+J77</f>
        <v>558</v>
      </c>
    </row>
    <row r="57" spans="1:10" ht="29.25" customHeight="1">
      <c r="A57" s="218" t="s">
        <v>833</v>
      </c>
      <c r="B57" s="266" t="s">
        <v>818</v>
      </c>
      <c r="C57" s="103"/>
      <c r="D57" s="103"/>
      <c r="E57" s="102"/>
      <c r="F57" s="102"/>
      <c r="G57" s="115">
        <f>G58</f>
        <v>1795.4870000000001</v>
      </c>
      <c r="H57" s="115">
        <v>0</v>
      </c>
      <c r="I57" s="115">
        <f>I58</f>
        <v>1795.4870000000001</v>
      </c>
      <c r="J57" s="115">
        <v>0</v>
      </c>
    </row>
    <row r="58" spans="1:10" ht="51" customHeight="1">
      <c r="A58" s="113" t="s">
        <v>845</v>
      </c>
      <c r="B58" s="92" t="s">
        <v>385</v>
      </c>
      <c r="C58" s="103"/>
      <c r="D58" s="103"/>
      <c r="E58" s="102"/>
      <c r="F58" s="102"/>
      <c r="G58" s="115">
        <f>G59+G60+G61</f>
        <v>1795.4870000000001</v>
      </c>
      <c r="H58" s="115">
        <v>0</v>
      </c>
      <c r="I58" s="115">
        <f>I59+I60+I61</f>
        <v>1795.4870000000001</v>
      </c>
      <c r="J58" s="115">
        <v>0</v>
      </c>
    </row>
    <row r="59" spans="1:10" ht="38.25">
      <c r="A59" s="110" t="s">
        <v>209</v>
      </c>
      <c r="B59" s="92" t="s">
        <v>385</v>
      </c>
      <c r="C59" s="92" t="s">
        <v>312</v>
      </c>
      <c r="D59" s="92" t="s">
        <v>140</v>
      </c>
      <c r="E59" s="114" t="s">
        <v>152</v>
      </c>
      <c r="F59" s="114" t="s">
        <v>161</v>
      </c>
      <c r="G59" s="281">
        <f>'пр.7 2024г'!G99</f>
        <v>100</v>
      </c>
      <c r="H59" s="281">
        <v>0</v>
      </c>
      <c r="I59" s="281">
        <v>100</v>
      </c>
      <c r="J59" s="281">
        <v>0</v>
      </c>
    </row>
    <row r="60" spans="1:10">
      <c r="A60" s="106" t="s">
        <v>1036</v>
      </c>
      <c r="B60" s="92" t="s">
        <v>385</v>
      </c>
      <c r="C60" s="92" t="s">
        <v>1037</v>
      </c>
      <c r="D60" s="92" t="s">
        <v>140</v>
      </c>
      <c r="E60" s="114" t="s">
        <v>152</v>
      </c>
      <c r="F60" s="114" t="s">
        <v>161</v>
      </c>
      <c r="G60" s="281">
        <f>'пр.7 2024г'!G100</f>
        <v>95.486999999999995</v>
      </c>
      <c r="H60" s="281">
        <v>0</v>
      </c>
      <c r="I60" s="281">
        <v>95.486999999999995</v>
      </c>
      <c r="J60" s="281">
        <v>0</v>
      </c>
    </row>
    <row r="61" spans="1:10" ht="21.75" customHeight="1">
      <c r="A61" s="106" t="s">
        <v>267</v>
      </c>
      <c r="B61" s="92" t="s">
        <v>385</v>
      </c>
      <c r="C61" s="92" t="s">
        <v>320</v>
      </c>
      <c r="D61" s="92" t="s">
        <v>140</v>
      </c>
      <c r="E61" s="114" t="s">
        <v>159</v>
      </c>
      <c r="F61" s="114" t="s">
        <v>153</v>
      </c>
      <c r="G61" s="281">
        <f>'пр.7 2024г'!G363</f>
        <v>1600</v>
      </c>
      <c r="H61" s="281">
        <v>0</v>
      </c>
      <c r="I61" s="281">
        <v>1600</v>
      </c>
      <c r="J61" s="281">
        <v>0</v>
      </c>
    </row>
    <row r="62" spans="1:10" ht="38.25">
      <c r="A62" s="218" t="s">
        <v>1110</v>
      </c>
      <c r="B62" s="219" t="s">
        <v>381</v>
      </c>
      <c r="C62" s="219"/>
      <c r="D62" s="219"/>
      <c r="E62" s="267"/>
      <c r="F62" s="267"/>
      <c r="G62" s="324">
        <f>G64+G65</f>
        <v>1100</v>
      </c>
      <c r="H62" s="324">
        <f t="shared" ref="H62" si="16">H64</f>
        <v>0</v>
      </c>
      <c r="I62" s="324">
        <f>I64+I65</f>
        <v>1100</v>
      </c>
      <c r="J62" s="324">
        <f t="shared" ref="J62" si="17">J64</f>
        <v>0</v>
      </c>
    </row>
    <row r="63" spans="1:10" ht="25.5">
      <c r="A63" s="106" t="s">
        <v>650</v>
      </c>
      <c r="B63" s="92" t="s">
        <v>629</v>
      </c>
      <c r="C63" s="425"/>
      <c r="D63" s="425" t="s">
        <v>140</v>
      </c>
      <c r="E63" s="425" t="s">
        <v>165</v>
      </c>
      <c r="F63" s="425" t="s">
        <v>155</v>
      </c>
      <c r="G63" s="426">
        <f>G64</f>
        <v>1100</v>
      </c>
      <c r="H63" s="426">
        <v>0</v>
      </c>
      <c r="I63" s="426">
        <f>I64</f>
        <v>1100</v>
      </c>
      <c r="J63" s="426">
        <v>0</v>
      </c>
    </row>
    <row r="64" spans="1:10" ht="18.75" customHeight="1">
      <c r="A64" s="106" t="s">
        <v>310</v>
      </c>
      <c r="B64" s="92" t="s">
        <v>630</v>
      </c>
      <c r="C64" s="105" t="s">
        <v>321</v>
      </c>
      <c r="D64" s="105" t="s">
        <v>140</v>
      </c>
      <c r="E64" s="104" t="s">
        <v>165</v>
      </c>
      <c r="F64" s="460" t="s">
        <v>155</v>
      </c>
      <c r="G64" s="323">
        <f>'пр.7 2024г'!G386</f>
        <v>1100</v>
      </c>
      <c r="H64" s="426">
        <v>0</v>
      </c>
      <c r="I64" s="323">
        <v>1100</v>
      </c>
      <c r="J64" s="426">
        <v>0</v>
      </c>
    </row>
    <row r="65" spans="1:10" ht="38.25" hidden="1">
      <c r="A65" s="106" t="s">
        <v>537</v>
      </c>
      <c r="B65" s="92" t="s">
        <v>760</v>
      </c>
      <c r="C65" s="425"/>
      <c r="D65" s="425" t="s">
        <v>140</v>
      </c>
      <c r="E65" s="425" t="s">
        <v>165</v>
      </c>
      <c r="F65" s="425" t="s">
        <v>155</v>
      </c>
      <c r="G65" s="323">
        <f>G66</f>
        <v>0</v>
      </c>
      <c r="H65" s="426">
        <v>0</v>
      </c>
      <c r="I65" s="323">
        <f>I66</f>
        <v>0</v>
      </c>
      <c r="J65" s="426">
        <v>0</v>
      </c>
    </row>
    <row r="66" spans="1:10" ht="28.5" hidden="1" customHeight="1">
      <c r="A66" s="106" t="s">
        <v>310</v>
      </c>
      <c r="B66" s="92" t="s">
        <v>760</v>
      </c>
      <c r="C66" s="105" t="s">
        <v>321</v>
      </c>
      <c r="D66" s="105" t="s">
        <v>140</v>
      </c>
      <c r="E66" s="104" t="s">
        <v>165</v>
      </c>
      <c r="F66" s="460" t="s">
        <v>155</v>
      </c>
      <c r="G66" s="323">
        <f>'пр.7 2024г'!G388</f>
        <v>0</v>
      </c>
      <c r="H66" s="426">
        <v>0</v>
      </c>
      <c r="I66" s="323">
        <v>0</v>
      </c>
      <c r="J66" s="426">
        <v>0</v>
      </c>
    </row>
    <row r="67" spans="1:10" ht="38.25">
      <c r="A67" s="218" t="s">
        <v>1111</v>
      </c>
      <c r="B67" s="219" t="s">
        <v>379</v>
      </c>
      <c r="C67" s="219"/>
      <c r="D67" s="219" t="s">
        <v>140</v>
      </c>
      <c r="E67" s="267"/>
      <c r="F67" s="267"/>
      <c r="G67" s="324">
        <f>G68</f>
        <v>900</v>
      </c>
      <c r="H67" s="324">
        <f t="shared" ref="H67" si="18">H68</f>
        <v>400</v>
      </c>
      <c r="I67" s="324">
        <f>I68</f>
        <v>900</v>
      </c>
      <c r="J67" s="324">
        <f t="shared" ref="J67" si="19">J68</f>
        <v>400</v>
      </c>
    </row>
    <row r="68" spans="1:10" ht="25.5">
      <c r="A68" s="176" t="s">
        <v>683</v>
      </c>
      <c r="B68" s="425" t="s">
        <v>379</v>
      </c>
      <c r="C68" s="425"/>
      <c r="D68" s="514" t="s">
        <v>140</v>
      </c>
      <c r="E68" s="526" t="s">
        <v>161</v>
      </c>
      <c r="F68" s="526" t="s">
        <v>159</v>
      </c>
      <c r="G68" s="426">
        <f>G69+G73+G75</f>
        <v>900</v>
      </c>
      <c r="H68" s="426">
        <f>H69+H70+H73+H75</f>
        <v>400</v>
      </c>
      <c r="I68" s="426">
        <f>I69+I73+I75</f>
        <v>900</v>
      </c>
      <c r="J68" s="426">
        <f>J69+J70+J73+J75</f>
        <v>400</v>
      </c>
    </row>
    <row r="69" spans="1:10" ht="38.25">
      <c r="A69" s="495" t="s">
        <v>496</v>
      </c>
      <c r="B69" s="105" t="s">
        <v>380</v>
      </c>
      <c r="C69" s="105"/>
      <c r="D69" s="105" t="s">
        <v>140</v>
      </c>
      <c r="E69" s="104" t="s">
        <v>161</v>
      </c>
      <c r="F69" s="104" t="s">
        <v>159</v>
      </c>
      <c r="G69" s="117">
        <f>G70</f>
        <v>100</v>
      </c>
      <c r="H69" s="117">
        <f>H70</f>
        <v>0</v>
      </c>
      <c r="I69" s="117">
        <f>I70</f>
        <v>100</v>
      </c>
      <c r="J69" s="117">
        <f>J70</f>
        <v>0</v>
      </c>
    </row>
    <row r="70" spans="1:10" ht="38.25">
      <c r="A70" s="492" t="s">
        <v>1128</v>
      </c>
      <c r="B70" s="105" t="s">
        <v>380</v>
      </c>
      <c r="C70" s="105"/>
      <c r="D70" s="105" t="s">
        <v>140</v>
      </c>
      <c r="E70" s="104" t="s">
        <v>161</v>
      </c>
      <c r="F70" s="104" t="s">
        <v>159</v>
      </c>
      <c r="G70" s="117">
        <f>G71+G72</f>
        <v>100</v>
      </c>
      <c r="H70" s="117">
        <f>H71</f>
        <v>0</v>
      </c>
      <c r="I70" s="117">
        <f>I71+I72</f>
        <v>100</v>
      </c>
      <c r="J70" s="117">
        <f>J71</f>
        <v>0</v>
      </c>
    </row>
    <row r="71" spans="1:10" ht="38.25">
      <c r="A71" s="110" t="s">
        <v>209</v>
      </c>
      <c r="B71" s="105" t="s">
        <v>380</v>
      </c>
      <c r="C71" s="105" t="s">
        <v>312</v>
      </c>
      <c r="D71" s="105" t="s">
        <v>140</v>
      </c>
      <c r="E71" s="104" t="s">
        <v>161</v>
      </c>
      <c r="F71" s="104" t="s">
        <v>159</v>
      </c>
      <c r="G71" s="117">
        <f>'пр.7 2024г'!G215</f>
        <v>70</v>
      </c>
      <c r="H71" s="117">
        <v>0</v>
      </c>
      <c r="I71" s="117">
        <v>70</v>
      </c>
      <c r="J71" s="117">
        <v>0</v>
      </c>
    </row>
    <row r="72" spans="1:10">
      <c r="A72" s="106" t="s">
        <v>130</v>
      </c>
      <c r="B72" s="105" t="s">
        <v>380</v>
      </c>
      <c r="C72" s="105" t="s">
        <v>746</v>
      </c>
      <c r="D72" s="105" t="s">
        <v>140</v>
      </c>
      <c r="E72" s="104" t="s">
        <v>161</v>
      </c>
      <c r="F72" s="104" t="s">
        <v>159</v>
      </c>
      <c r="G72" s="117">
        <f>'пр.7 2024г'!G216</f>
        <v>30</v>
      </c>
      <c r="H72" s="117">
        <v>0</v>
      </c>
      <c r="I72" s="117">
        <v>30</v>
      </c>
      <c r="J72" s="117">
        <v>0</v>
      </c>
    </row>
    <row r="73" spans="1:10" ht="51">
      <c r="A73" s="110" t="s">
        <v>735</v>
      </c>
      <c r="B73" s="92" t="s">
        <v>737</v>
      </c>
      <c r="C73" s="105"/>
      <c r="D73" s="105" t="s">
        <v>140</v>
      </c>
      <c r="E73" s="104" t="s">
        <v>161</v>
      </c>
      <c r="F73" s="104" t="s">
        <v>159</v>
      </c>
      <c r="G73" s="117">
        <f>G74</f>
        <v>400</v>
      </c>
      <c r="H73" s="117">
        <f>H74</f>
        <v>400</v>
      </c>
      <c r="I73" s="117">
        <f>I74</f>
        <v>400</v>
      </c>
      <c r="J73" s="117">
        <f>J74</f>
        <v>400</v>
      </c>
    </row>
    <row r="74" spans="1:10" ht="38.25">
      <c r="A74" s="110" t="s">
        <v>209</v>
      </c>
      <c r="B74" s="92" t="s">
        <v>737</v>
      </c>
      <c r="C74" s="105" t="s">
        <v>312</v>
      </c>
      <c r="D74" s="105" t="s">
        <v>140</v>
      </c>
      <c r="E74" s="104" t="s">
        <v>161</v>
      </c>
      <c r="F74" s="104" t="s">
        <v>159</v>
      </c>
      <c r="G74" s="117">
        <f>'пр.7 2024г'!G218</f>
        <v>400</v>
      </c>
      <c r="H74" s="117">
        <f>G74</f>
        <v>400</v>
      </c>
      <c r="I74" s="117">
        <v>400</v>
      </c>
      <c r="J74" s="117">
        <f>I74</f>
        <v>400</v>
      </c>
    </row>
    <row r="75" spans="1:10" ht="63.75">
      <c r="A75" s="110" t="s">
        <v>736</v>
      </c>
      <c r="B75" s="92" t="s">
        <v>737</v>
      </c>
      <c r="C75" s="105"/>
      <c r="D75" s="105" t="s">
        <v>140</v>
      </c>
      <c r="E75" s="104" t="s">
        <v>161</v>
      </c>
      <c r="F75" s="104" t="s">
        <v>159</v>
      </c>
      <c r="G75" s="117">
        <f>G76</f>
        <v>400</v>
      </c>
      <c r="H75" s="117">
        <v>0</v>
      </c>
      <c r="I75" s="117">
        <v>400</v>
      </c>
      <c r="J75" s="117">
        <v>0</v>
      </c>
    </row>
    <row r="76" spans="1:10" ht="38.25">
      <c r="A76" s="110" t="s">
        <v>209</v>
      </c>
      <c r="B76" s="92" t="s">
        <v>737</v>
      </c>
      <c r="C76" s="105" t="s">
        <v>312</v>
      </c>
      <c r="D76" s="105" t="s">
        <v>140</v>
      </c>
      <c r="E76" s="104" t="s">
        <v>161</v>
      </c>
      <c r="F76" s="104" t="s">
        <v>159</v>
      </c>
      <c r="G76" s="117">
        <f>'пр.7 2024г'!G220</f>
        <v>400</v>
      </c>
      <c r="H76" s="117">
        <v>0</v>
      </c>
      <c r="I76" s="117">
        <v>400</v>
      </c>
      <c r="J76" s="117">
        <v>0</v>
      </c>
    </row>
    <row r="77" spans="1:10" ht="25.5">
      <c r="A77" s="218" t="s">
        <v>1168</v>
      </c>
      <c r="B77" s="219" t="s">
        <v>1170</v>
      </c>
      <c r="C77" s="219"/>
      <c r="D77" s="219" t="s">
        <v>140</v>
      </c>
      <c r="E77" s="267"/>
      <c r="F77" s="267"/>
      <c r="G77" s="771">
        <f>G78</f>
        <v>298</v>
      </c>
      <c r="H77" s="771">
        <f>H78</f>
        <v>149</v>
      </c>
      <c r="I77" s="771">
        <f>I78</f>
        <v>316</v>
      </c>
      <c r="J77" s="771">
        <f>J78</f>
        <v>158</v>
      </c>
    </row>
    <row r="78" spans="1:10" ht="25.5">
      <c r="A78" s="106" t="s">
        <v>1169</v>
      </c>
      <c r="B78" s="92" t="s">
        <v>1170</v>
      </c>
      <c r="C78" s="92"/>
      <c r="D78" s="105" t="s">
        <v>140</v>
      </c>
      <c r="E78" s="114"/>
      <c r="F78" s="114"/>
      <c r="G78" s="660">
        <f>G79+G81</f>
        <v>298</v>
      </c>
      <c r="H78" s="660">
        <f>H79+H81</f>
        <v>149</v>
      </c>
      <c r="I78" s="660">
        <f>I79+I81</f>
        <v>316</v>
      </c>
      <c r="J78" s="660">
        <f>J79+J81</f>
        <v>158</v>
      </c>
    </row>
    <row r="79" spans="1:10" ht="51">
      <c r="A79" s="463" t="s">
        <v>573</v>
      </c>
      <c r="B79" s="92" t="s">
        <v>1170</v>
      </c>
      <c r="C79" s="92"/>
      <c r="D79" s="105" t="s">
        <v>140</v>
      </c>
      <c r="E79" s="114" t="s">
        <v>152</v>
      </c>
      <c r="F79" s="114" t="s">
        <v>178</v>
      </c>
      <c r="G79" s="660">
        <f>G80</f>
        <v>149</v>
      </c>
      <c r="H79" s="660">
        <f>H80</f>
        <v>149</v>
      </c>
      <c r="I79" s="660">
        <f>I80</f>
        <v>158</v>
      </c>
      <c r="J79" s="660">
        <f>J80</f>
        <v>158</v>
      </c>
    </row>
    <row r="80" spans="1:10" ht="38.25">
      <c r="A80" s="110" t="s">
        <v>209</v>
      </c>
      <c r="B80" s="92" t="s">
        <v>1170</v>
      </c>
      <c r="C80" s="92" t="s">
        <v>312</v>
      </c>
      <c r="D80" s="105" t="s">
        <v>140</v>
      </c>
      <c r="E80" s="114" t="s">
        <v>152</v>
      </c>
      <c r="F80" s="114" t="s">
        <v>178</v>
      </c>
      <c r="G80" s="660">
        <f>'пр.7 2024г'!G138</f>
        <v>149</v>
      </c>
      <c r="H80" s="660">
        <f>G80</f>
        <v>149</v>
      </c>
      <c r="I80" s="660">
        <v>158</v>
      </c>
      <c r="J80" s="660">
        <f>I80</f>
        <v>158</v>
      </c>
    </row>
    <row r="81" spans="1:10" ht="51">
      <c r="A81" s="463" t="s">
        <v>495</v>
      </c>
      <c r="B81" s="92" t="s">
        <v>1170</v>
      </c>
      <c r="C81" s="92"/>
      <c r="D81" s="105" t="s">
        <v>140</v>
      </c>
      <c r="E81" s="114" t="s">
        <v>152</v>
      </c>
      <c r="F81" s="114" t="s">
        <v>178</v>
      </c>
      <c r="G81" s="660">
        <f>G82</f>
        <v>149</v>
      </c>
      <c r="H81" s="660">
        <f>H82</f>
        <v>0</v>
      </c>
      <c r="I81" s="660">
        <f>I82</f>
        <v>158</v>
      </c>
      <c r="J81" s="660">
        <f>J82</f>
        <v>0</v>
      </c>
    </row>
    <row r="82" spans="1:10" ht="38.25">
      <c r="A82" s="110" t="s">
        <v>209</v>
      </c>
      <c r="B82" s="92" t="s">
        <v>1170</v>
      </c>
      <c r="C82" s="92" t="s">
        <v>312</v>
      </c>
      <c r="D82" s="105" t="s">
        <v>140</v>
      </c>
      <c r="E82" s="114" t="s">
        <v>152</v>
      </c>
      <c r="F82" s="114" t="s">
        <v>178</v>
      </c>
      <c r="G82" s="660">
        <f>'пр.7 2024г'!G140</f>
        <v>149</v>
      </c>
      <c r="H82" s="660">
        <v>0</v>
      </c>
      <c r="I82" s="660">
        <v>158</v>
      </c>
      <c r="J82" s="660">
        <v>0</v>
      </c>
    </row>
    <row r="83" spans="1:10" ht="78" customHeight="1">
      <c r="A83" s="627" t="s">
        <v>873</v>
      </c>
      <c r="B83" s="194" t="s">
        <v>838</v>
      </c>
      <c r="C83" s="194"/>
      <c r="D83" s="194"/>
      <c r="E83" s="448"/>
      <c r="F83" s="448"/>
      <c r="G83" s="288">
        <f>G84+G159</f>
        <v>99619.370999999999</v>
      </c>
      <c r="H83" s="288">
        <f>H84+H159</f>
        <v>29479.33</v>
      </c>
      <c r="I83" s="288">
        <f>I84+I159</f>
        <v>74586.841</v>
      </c>
      <c r="J83" s="288">
        <f>J84+J159</f>
        <v>5457.5999999999995</v>
      </c>
    </row>
    <row r="84" spans="1:10" ht="38.25">
      <c r="A84" s="218" t="s">
        <v>874</v>
      </c>
      <c r="B84" s="219" t="s">
        <v>839</v>
      </c>
      <c r="C84" s="219"/>
      <c r="D84" s="219" t="s">
        <v>140</v>
      </c>
      <c r="E84" s="267"/>
      <c r="F84" s="267"/>
      <c r="G84" s="324">
        <f>G85+G126</f>
        <v>43262.171000000002</v>
      </c>
      <c r="H84" s="324">
        <f>H85+H126</f>
        <v>13407.83</v>
      </c>
      <c r="I84" s="324">
        <f>I85+I126</f>
        <v>34451.141000000003</v>
      </c>
      <c r="J84" s="324">
        <f>J85+J126</f>
        <v>5457.5999999999995</v>
      </c>
    </row>
    <row r="85" spans="1:10" ht="53.25" customHeight="1">
      <c r="A85" s="218" t="s">
        <v>835</v>
      </c>
      <c r="B85" s="219" t="s">
        <v>840</v>
      </c>
      <c r="C85" s="219"/>
      <c r="D85" s="219" t="s">
        <v>140</v>
      </c>
      <c r="E85" s="267"/>
      <c r="F85" s="267"/>
      <c r="G85" s="324">
        <f>G86+G90+G109+G115+G112+G105+G107+G102</f>
        <v>38335.370999999999</v>
      </c>
      <c r="H85" s="324">
        <f>H86+H90+H109+H115+H112+H105+H107+H102</f>
        <v>8481.0300000000007</v>
      </c>
      <c r="I85" s="324">
        <f>I86+I90+I109+I115+I112+I105+I107+I102</f>
        <v>28993.541000000005</v>
      </c>
      <c r="J85" s="324">
        <f>J86+J90+J109+J115+J112+J105+J107+J102</f>
        <v>0</v>
      </c>
    </row>
    <row r="86" spans="1:10">
      <c r="A86" s="618" t="s">
        <v>815</v>
      </c>
      <c r="B86" s="92" t="s">
        <v>841</v>
      </c>
      <c r="C86" s="266"/>
      <c r="D86" s="219" t="s">
        <v>140</v>
      </c>
      <c r="E86" s="616" t="s">
        <v>152</v>
      </c>
      <c r="F86" s="616" t="s">
        <v>153</v>
      </c>
      <c r="G86" s="617">
        <f>G87+G88+G89</f>
        <v>3465.9879999999998</v>
      </c>
      <c r="H86" s="117">
        <v>0</v>
      </c>
      <c r="I86" s="617">
        <f>I87+I88+I89</f>
        <v>2733.8879999999999</v>
      </c>
      <c r="J86" s="117">
        <v>0</v>
      </c>
    </row>
    <row r="87" spans="1:10" ht="38.25">
      <c r="A87" s="106" t="s">
        <v>110</v>
      </c>
      <c r="B87" s="92" t="s">
        <v>841</v>
      </c>
      <c r="C87" s="266" t="s">
        <v>311</v>
      </c>
      <c r="D87" s="219" t="s">
        <v>140</v>
      </c>
      <c r="E87" s="616" t="s">
        <v>152</v>
      </c>
      <c r="F87" s="616" t="s">
        <v>153</v>
      </c>
      <c r="G87" s="617">
        <f>'пр.7 2024г'!G93</f>
        <v>2623.6469999999999</v>
      </c>
      <c r="H87" s="117">
        <v>0</v>
      </c>
      <c r="I87" s="617">
        <v>2061.3580000000002</v>
      </c>
      <c r="J87" s="117">
        <v>0</v>
      </c>
    </row>
    <row r="88" spans="1:10" ht="38.25">
      <c r="A88" s="106" t="s">
        <v>6</v>
      </c>
      <c r="B88" s="92" t="s">
        <v>841</v>
      </c>
      <c r="C88" s="266" t="s">
        <v>316</v>
      </c>
      <c r="D88" s="219" t="s">
        <v>140</v>
      </c>
      <c r="E88" s="616" t="s">
        <v>152</v>
      </c>
      <c r="F88" s="616" t="s">
        <v>153</v>
      </c>
      <c r="G88" s="617">
        <f>'пр.7 2024г'!G94</f>
        <v>50</v>
      </c>
      <c r="H88" s="117">
        <v>0</v>
      </c>
      <c r="I88" s="617">
        <v>50</v>
      </c>
      <c r="J88" s="117">
        <v>0</v>
      </c>
    </row>
    <row r="89" spans="1:10" ht="51">
      <c r="A89" s="462" t="s">
        <v>325</v>
      </c>
      <c r="B89" s="92" t="s">
        <v>841</v>
      </c>
      <c r="C89" s="266" t="s">
        <v>326</v>
      </c>
      <c r="D89" s="219" t="s">
        <v>140</v>
      </c>
      <c r="E89" s="616" t="s">
        <v>152</v>
      </c>
      <c r="F89" s="616" t="s">
        <v>153</v>
      </c>
      <c r="G89" s="617">
        <f>'пр.7 2024г'!G95</f>
        <v>792.34100000000001</v>
      </c>
      <c r="H89" s="117">
        <v>0</v>
      </c>
      <c r="I89" s="617">
        <v>622.53</v>
      </c>
      <c r="J89" s="117">
        <v>0</v>
      </c>
    </row>
    <row r="90" spans="1:10">
      <c r="A90" s="218" t="s">
        <v>815</v>
      </c>
      <c r="B90" s="92" t="s">
        <v>858</v>
      </c>
      <c r="C90" s="266"/>
      <c r="D90" s="219" t="s">
        <v>140</v>
      </c>
      <c r="E90" s="616" t="s">
        <v>152</v>
      </c>
      <c r="F90" s="616" t="s">
        <v>161</v>
      </c>
      <c r="G90" s="617">
        <f>G91+G92+G93+G94+G95+G96+G99</f>
        <v>21219.928</v>
      </c>
      <c r="H90" s="617">
        <f>H91+H92+H93+H94+H95+H96</f>
        <v>7458.7300000000005</v>
      </c>
      <c r="I90" s="617">
        <f>I91+I92+I93+I94+I95+I96+I99</f>
        <v>14493.298000000001</v>
      </c>
      <c r="J90" s="617">
        <f>J91+J92+J93+J94+J95+J96</f>
        <v>0</v>
      </c>
    </row>
    <row r="91" spans="1:10" ht="38.25">
      <c r="A91" s="106" t="s">
        <v>110</v>
      </c>
      <c r="B91" s="92" t="s">
        <v>858</v>
      </c>
      <c r="C91" s="266" t="s">
        <v>311</v>
      </c>
      <c r="D91" s="219" t="s">
        <v>140</v>
      </c>
      <c r="E91" s="616" t="s">
        <v>152</v>
      </c>
      <c r="F91" s="616" t="s">
        <v>161</v>
      </c>
      <c r="G91" s="617">
        <f>'пр.7 2024г'!G105</f>
        <v>9417.2029999999995</v>
      </c>
      <c r="H91" s="117">
        <v>0</v>
      </c>
      <c r="I91" s="617">
        <v>9979.4920000000002</v>
      </c>
      <c r="J91" s="117">
        <v>0</v>
      </c>
    </row>
    <row r="92" spans="1:10" ht="34.5" customHeight="1">
      <c r="A92" s="106" t="s">
        <v>6</v>
      </c>
      <c r="B92" s="92" t="s">
        <v>858</v>
      </c>
      <c r="C92" s="266" t="s">
        <v>316</v>
      </c>
      <c r="D92" s="219" t="s">
        <v>140</v>
      </c>
      <c r="E92" s="616" t="s">
        <v>152</v>
      </c>
      <c r="F92" s="616" t="s">
        <v>161</v>
      </c>
      <c r="G92" s="617">
        <f>'пр.7 2024г'!G106</f>
        <v>50</v>
      </c>
      <c r="H92" s="117">
        <v>0</v>
      </c>
      <c r="I92" s="617">
        <v>50</v>
      </c>
      <c r="J92" s="117">
        <v>0</v>
      </c>
    </row>
    <row r="93" spans="1:10" ht="51">
      <c r="A93" s="462" t="s">
        <v>325</v>
      </c>
      <c r="B93" s="92" t="s">
        <v>858</v>
      </c>
      <c r="C93" s="266" t="s">
        <v>326</v>
      </c>
      <c r="D93" s="219" t="s">
        <v>140</v>
      </c>
      <c r="E93" s="616" t="s">
        <v>152</v>
      </c>
      <c r="F93" s="616" t="s">
        <v>161</v>
      </c>
      <c r="G93" s="617">
        <f>'пр.7 2024г'!G107</f>
        <v>2843.9949999999999</v>
      </c>
      <c r="H93" s="117">
        <v>0</v>
      </c>
      <c r="I93" s="617">
        <v>3013.806</v>
      </c>
      <c r="J93" s="117">
        <v>0</v>
      </c>
    </row>
    <row r="94" spans="1:10" ht="39.75" customHeight="1">
      <c r="A94" s="184" t="s">
        <v>317</v>
      </c>
      <c r="B94" s="92" t="s">
        <v>858</v>
      </c>
      <c r="C94" s="92" t="s">
        <v>318</v>
      </c>
      <c r="D94" s="219" t="s">
        <v>140</v>
      </c>
      <c r="E94" s="616" t="s">
        <v>152</v>
      </c>
      <c r="F94" s="616" t="s">
        <v>161</v>
      </c>
      <c r="G94" s="617">
        <f>'пр.7 2024г'!G108</f>
        <v>50</v>
      </c>
      <c r="H94" s="117">
        <v>0</v>
      </c>
      <c r="I94" s="617">
        <v>50</v>
      </c>
      <c r="J94" s="117">
        <v>0</v>
      </c>
    </row>
    <row r="95" spans="1:10" ht="38.25">
      <c r="A95" s="110" t="s">
        <v>209</v>
      </c>
      <c r="B95" s="92" t="s">
        <v>858</v>
      </c>
      <c r="C95" s="92" t="s">
        <v>312</v>
      </c>
      <c r="D95" s="219" t="s">
        <v>140</v>
      </c>
      <c r="E95" s="616" t="s">
        <v>152</v>
      </c>
      <c r="F95" s="616" t="s">
        <v>161</v>
      </c>
      <c r="G95" s="617">
        <f>'пр.7 2024г'!G109</f>
        <v>1400</v>
      </c>
      <c r="H95" s="117">
        <v>0</v>
      </c>
      <c r="I95" s="617">
        <v>1400</v>
      </c>
      <c r="J95" s="117">
        <v>0</v>
      </c>
    </row>
    <row r="96" spans="1:10" ht="76.5">
      <c r="A96" s="483" t="s">
        <v>570</v>
      </c>
      <c r="B96" s="92" t="s">
        <v>879</v>
      </c>
      <c r="C96" s="92"/>
      <c r="D96" s="219" t="s">
        <v>140</v>
      </c>
      <c r="E96" s="616" t="s">
        <v>152</v>
      </c>
      <c r="F96" s="616" t="s">
        <v>161</v>
      </c>
      <c r="G96" s="617">
        <f>G97+G98</f>
        <v>7458.7300000000005</v>
      </c>
      <c r="H96" s="662">
        <f>H97+H98</f>
        <v>7458.7300000000005</v>
      </c>
      <c r="I96" s="617">
        <f>I97+I98</f>
        <v>0</v>
      </c>
      <c r="J96" s="662">
        <f>J97+J98</f>
        <v>0</v>
      </c>
    </row>
    <row r="97" spans="1:10" ht="18.75" customHeight="1">
      <c r="A97" s="106" t="s">
        <v>110</v>
      </c>
      <c r="B97" s="92" t="s">
        <v>879</v>
      </c>
      <c r="C97" s="266" t="s">
        <v>311</v>
      </c>
      <c r="D97" s="219" t="s">
        <v>140</v>
      </c>
      <c r="E97" s="616" t="s">
        <v>152</v>
      </c>
      <c r="F97" s="616" t="s">
        <v>161</v>
      </c>
      <c r="G97" s="617">
        <f>'пр.7 2024г'!G111</f>
        <v>5728.6716800000004</v>
      </c>
      <c r="H97" s="117">
        <f>G97</f>
        <v>5728.6716800000004</v>
      </c>
      <c r="I97" s="617">
        <f>'[3]пр.7 2024г'!I116</f>
        <v>0</v>
      </c>
      <c r="J97" s="117">
        <f>I97</f>
        <v>0</v>
      </c>
    </row>
    <row r="98" spans="1:10" ht="24.75" customHeight="1">
      <c r="A98" s="462" t="s">
        <v>325</v>
      </c>
      <c r="B98" s="92" t="s">
        <v>879</v>
      </c>
      <c r="C98" s="266" t="s">
        <v>326</v>
      </c>
      <c r="D98" s="219" t="s">
        <v>140</v>
      </c>
      <c r="E98" s="616" t="s">
        <v>152</v>
      </c>
      <c r="F98" s="616" t="s">
        <v>161</v>
      </c>
      <c r="G98" s="617">
        <f>'пр.7 2024г'!G112</f>
        <v>1730.0583200000001</v>
      </c>
      <c r="H98" s="117">
        <f>G98</f>
        <v>1730.0583200000001</v>
      </c>
      <c r="I98" s="617">
        <f>'[3]пр.7 2024г'!I117</f>
        <v>0</v>
      </c>
      <c r="J98" s="117">
        <f>I98</f>
        <v>0</v>
      </c>
    </row>
    <row r="99" spans="1:10" ht="24.75" hidden="1" customHeight="1">
      <c r="A99" s="483" t="s">
        <v>571</v>
      </c>
      <c r="B99" s="92" t="s">
        <v>879</v>
      </c>
      <c r="C99" s="92"/>
      <c r="D99" s="219" t="s">
        <v>140</v>
      </c>
      <c r="E99" s="616" t="s">
        <v>152</v>
      </c>
      <c r="F99" s="616" t="s">
        <v>161</v>
      </c>
      <c r="G99" s="617">
        <f>G100+G101</f>
        <v>0</v>
      </c>
      <c r="H99" s="117"/>
      <c r="I99" s="617">
        <f>I100+I101</f>
        <v>0</v>
      </c>
      <c r="J99" s="117"/>
    </row>
    <row r="100" spans="1:10" ht="24.75" hidden="1" customHeight="1">
      <c r="A100" s="106" t="s">
        <v>324</v>
      </c>
      <c r="B100" s="92" t="s">
        <v>879</v>
      </c>
      <c r="C100" s="266" t="s">
        <v>311</v>
      </c>
      <c r="D100" s="219" t="s">
        <v>140</v>
      </c>
      <c r="E100" s="616" t="s">
        <v>152</v>
      </c>
      <c r="F100" s="616" t="s">
        <v>161</v>
      </c>
      <c r="G100" s="617">
        <f>'пр.7 2024г'!G114</f>
        <v>0</v>
      </c>
      <c r="H100" s="117"/>
      <c r="I100" s="617">
        <v>0</v>
      </c>
      <c r="J100" s="117"/>
    </row>
    <row r="101" spans="1:10" ht="24.75" hidden="1" customHeight="1">
      <c r="A101" s="462" t="s">
        <v>325</v>
      </c>
      <c r="B101" s="92" t="s">
        <v>879</v>
      </c>
      <c r="C101" s="266" t="s">
        <v>326</v>
      </c>
      <c r="D101" s="219" t="s">
        <v>140</v>
      </c>
      <c r="E101" s="616" t="s">
        <v>152</v>
      </c>
      <c r="F101" s="616" t="s">
        <v>161</v>
      </c>
      <c r="G101" s="617">
        <f>'пр.7 2024г'!G115</f>
        <v>0</v>
      </c>
      <c r="H101" s="117"/>
      <c r="I101" s="617">
        <v>0</v>
      </c>
      <c r="J101" s="117"/>
    </row>
    <row r="102" spans="1:10" ht="24.75" hidden="1" customHeight="1">
      <c r="A102" s="462" t="s">
        <v>1069</v>
      </c>
      <c r="B102" s="92" t="s">
        <v>1070</v>
      </c>
      <c r="C102" s="92"/>
      <c r="D102" s="219" t="s">
        <v>140</v>
      </c>
      <c r="E102" s="616" t="s">
        <v>152</v>
      </c>
      <c r="F102" s="616" t="s">
        <v>161</v>
      </c>
      <c r="G102" s="617">
        <f>G103+G104</f>
        <v>0</v>
      </c>
      <c r="H102" s="117">
        <f>H103+H104</f>
        <v>0</v>
      </c>
      <c r="I102" s="617">
        <f>I103+I104</f>
        <v>0</v>
      </c>
      <c r="J102" s="117">
        <f>J103+J104</f>
        <v>0</v>
      </c>
    </row>
    <row r="103" spans="1:10" ht="24.75" hidden="1" customHeight="1">
      <c r="A103" s="106" t="s">
        <v>324</v>
      </c>
      <c r="B103" s="92" t="s">
        <v>1070</v>
      </c>
      <c r="C103" s="266" t="s">
        <v>311</v>
      </c>
      <c r="D103" s="219" t="s">
        <v>140</v>
      </c>
      <c r="E103" s="616" t="s">
        <v>152</v>
      </c>
      <c r="F103" s="616" t="s">
        <v>161</v>
      </c>
      <c r="G103" s="617">
        <f>'пр.7 2024г'!G117</f>
        <v>0</v>
      </c>
      <c r="H103" s="117">
        <f>G103</f>
        <v>0</v>
      </c>
      <c r="I103" s="617">
        <v>0</v>
      </c>
      <c r="J103" s="117">
        <f>I103</f>
        <v>0</v>
      </c>
    </row>
    <row r="104" spans="1:10" ht="24.75" hidden="1" customHeight="1">
      <c r="A104" s="462" t="s">
        <v>325</v>
      </c>
      <c r="B104" s="92" t="s">
        <v>1070</v>
      </c>
      <c r="C104" s="266" t="s">
        <v>326</v>
      </c>
      <c r="D104" s="219" t="s">
        <v>140</v>
      </c>
      <c r="E104" s="616" t="s">
        <v>152</v>
      </c>
      <c r="F104" s="616" t="s">
        <v>161</v>
      </c>
      <c r="G104" s="617">
        <f>'пр.7 2024г'!G118</f>
        <v>0</v>
      </c>
      <c r="H104" s="117">
        <f>G104</f>
        <v>0</v>
      </c>
      <c r="I104" s="617">
        <v>0</v>
      </c>
      <c r="J104" s="117">
        <f>I104</f>
        <v>0</v>
      </c>
    </row>
    <row r="105" spans="1:10" ht="36" hidden="1" customHeight="1">
      <c r="A105" s="716" t="s">
        <v>297</v>
      </c>
      <c r="B105" s="723" t="s">
        <v>1051</v>
      </c>
      <c r="C105" s="266"/>
      <c r="D105" s="219" t="s">
        <v>140</v>
      </c>
      <c r="E105" s="616" t="s">
        <v>165</v>
      </c>
      <c r="F105" s="616" t="s">
        <v>155</v>
      </c>
      <c r="G105" s="617">
        <f>G106</f>
        <v>0</v>
      </c>
      <c r="H105" s="117"/>
      <c r="I105" s="617">
        <f>I106</f>
        <v>0</v>
      </c>
      <c r="J105" s="117"/>
    </row>
    <row r="106" spans="1:10" ht="24.75" hidden="1" customHeight="1">
      <c r="A106" s="462" t="s">
        <v>310</v>
      </c>
      <c r="B106" s="92" t="s">
        <v>1051</v>
      </c>
      <c r="C106" s="266" t="s">
        <v>321</v>
      </c>
      <c r="D106" s="219" t="s">
        <v>140</v>
      </c>
      <c r="E106" s="616" t="s">
        <v>165</v>
      </c>
      <c r="F106" s="616" t="s">
        <v>155</v>
      </c>
      <c r="G106" s="617">
        <f>'пр.7 2024г'!G380</f>
        <v>0</v>
      </c>
      <c r="H106" s="117"/>
      <c r="I106" s="617">
        <v>0</v>
      </c>
      <c r="J106" s="117"/>
    </row>
    <row r="107" spans="1:10" ht="24.75" hidden="1" customHeight="1">
      <c r="A107" s="164" t="s">
        <v>1069</v>
      </c>
      <c r="B107" s="100" t="s">
        <v>1070</v>
      </c>
      <c r="C107" s="266"/>
      <c r="D107" s="219" t="s">
        <v>140</v>
      </c>
      <c r="E107" s="616" t="s">
        <v>165</v>
      </c>
      <c r="F107" s="616" t="s">
        <v>155</v>
      </c>
      <c r="G107" s="617">
        <f>G108</f>
        <v>0</v>
      </c>
      <c r="H107" s="117">
        <f>H108</f>
        <v>0</v>
      </c>
      <c r="I107" s="617">
        <f>I108</f>
        <v>0</v>
      </c>
      <c r="J107" s="117">
        <f>J108</f>
        <v>0</v>
      </c>
    </row>
    <row r="108" spans="1:10" ht="24.75" hidden="1" customHeight="1">
      <c r="A108" s="409" t="s">
        <v>310</v>
      </c>
      <c r="B108" s="100" t="s">
        <v>1070</v>
      </c>
      <c r="C108" s="266" t="s">
        <v>321</v>
      </c>
      <c r="D108" s="219" t="s">
        <v>140</v>
      </c>
      <c r="E108" s="616" t="s">
        <v>165</v>
      </c>
      <c r="F108" s="616" t="s">
        <v>155</v>
      </c>
      <c r="G108" s="617">
        <f>'пр.7 2024г'!G382</f>
        <v>0</v>
      </c>
      <c r="H108" s="117">
        <f>G108</f>
        <v>0</v>
      </c>
      <c r="I108" s="617">
        <f>'[3]пр.7 2024г'!I375</f>
        <v>0</v>
      </c>
      <c r="J108" s="117">
        <f>I108</f>
        <v>0</v>
      </c>
    </row>
    <row r="109" spans="1:10" ht="17.25" customHeight="1">
      <c r="A109" s="106" t="s">
        <v>815</v>
      </c>
      <c r="B109" s="92" t="s">
        <v>858</v>
      </c>
      <c r="C109" s="92"/>
      <c r="D109" s="266" t="s">
        <v>137</v>
      </c>
      <c r="E109" s="266" t="s">
        <v>152</v>
      </c>
      <c r="F109" s="266" t="s">
        <v>158</v>
      </c>
      <c r="G109" s="617">
        <f>G110+G111</f>
        <v>4707.4549999999999</v>
      </c>
      <c r="H109" s="117">
        <v>0</v>
      </c>
      <c r="I109" s="617">
        <f>I110+I111</f>
        <v>4707.4549999999999</v>
      </c>
      <c r="J109" s="117">
        <v>0</v>
      </c>
    </row>
    <row r="110" spans="1:10" ht="25.5">
      <c r="A110" s="106" t="s">
        <v>324</v>
      </c>
      <c r="B110" s="92" t="s">
        <v>858</v>
      </c>
      <c r="C110" s="92" t="s">
        <v>311</v>
      </c>
      <c r="D110" s="266" t="s">
        <v>137</v>
      </c>
      <c r="E110" s="266" t="s">
        <v>152</v>
      </c>
      <c r="F110" s="266" t="s">
        <v>158</v>
      </c>
      <c r="G110" s="617">
        <f>'пр.7 2024г'!G63</f>
        <v>3615.5569999999998</v>
      </c>
      <c r="H110" s="117">
        <v>0</v>
      </c>
      <c r="I110" s="617">
        <v>3615.5569999999998</v>
      </c>
      <c r="J110" s="117">
        <v>0</v>
      </c>
    </row>
    <row r="111" spans="1:10" ht="51">
      <c r="A111" s="462" t="s">
        <v>325</v>
      </c>
      <c r="B111" s="92" t="s">
        <v>858</v>
      </c>
      <c r="C111" s="92" t="s">
        <v>326</v>
      </c>
      <c r="D111" s="266" t="s">
        <v>137</v>
      </c>
      <c r="E111" s="266" t="s">
        <v>152</v>
      </c>
      <c r="F111" s="266" t="s">
        <v>158</v>
      </c>
      <c r="G111" s="617">
        <f>'пр.7 2024г'!G64</f>
        <v>1091.8979999999999</v>
      </c>
      <c r="H111" s="117">
        <v>0</v>
      </c>
      <c r="I111" s="617">
        <v>1091.8979999999999</v>
      </c>
      <c r="J111" s="117">
        <v>0</v>
      </c>
    </row>
    <row r="112" spans="1:10" ht="25.5">
      <c r="A112" s="106" t="s">
        <v>136</v>
      </c>
      <c r="B112" s="92" t="s">
        <v>844</v>
      </c>
      <c r="C112" s="92"/>
      <c r="D112" s="266" t="s">
        <v>137</v>
      </c>
      <c r="E112" s="266" t="s">
        <v>152</v>
      </c>
      <c r="F112" s="266" t="s">
        <v>158</v>
      </c>
      <c r="G112" s="617">
        <f>G113+G114</f>
        <v>4424</v>
      </c>
      <c r="H112" s="117">
        <v>0</v>
      </c>
      <c r="I112" s="617">
        <f>I113+I114</f>
        <v>3563.2000000000003</v>
      </c>
      <c r="J112" s="117">
        <v>0</v>
      </c>
    </row>
    <row r="113" spans="1:10" ht="25.5">
      <c r="A113" s="106" t="s">
        <v>324</v>
      </c>
      <c r="B113" s="92" t="s">
        <v>844</v>
      </c>
      <c r="C113" s="92" t="s">
        <v>311</v>
      </c>
      <c r="D113" s="266" t="s">
        <v>137</v>
      </c>
      <c r="E113" s="266" t="s">
        <v>152</v>
      </c>
      <c r="F113" s="266" t="s">
        <v>158</v>
      </c>
      <c r="G113" s="617">
        <f>'пр.7 2024г'!G66</f>
        <v>3397.8490000000002</v>
      </c>
      <c r="H113" s="117">
        <v>0</v>
      </c>
      <c r="I113" s="617">
        <v>2736.7130000000002</v>
      </c>
      <c r="J113" s="117">
        <v>0</v>
      </c>
    </row>
    <row r="114" spans="1:10" ht="51">
      <c r="A114" s="462" t="s">
        <v>325</v>
      </c>
      <c r="B114" s="92" t="s">
        <v>844</v>
      </c>
      <c r="C114" s="92" t="s">
        <v>326</v>
      </c>
      <c r="D114" s="266" t="s">
        <v>137</v>
      </c>
      <c r="E114" s="266" t="s">
        <v>152</v>
      </c>
      <c r="F114" s="266" t="s">
        <v>158</v>
      </c>
      <c r="G114" s="617">
        <f>'пр.7 2024г'!G67</f>
        <v>1026.1510000000001</v>
      </c>
      <c r="H114" s="117">
        <v>0</v>
      </c>
      <c r="I114" s="617">
        <v>826.48699999999997</v>
      </c>
      <c r="J114" s="117">
        <v>0</v>
      </c>
    </row>
    <row r="115" spans="1:10">
      <c r="A115" s="218" t="s">
        <v>815</v>
      </c>
      <c r="B115" s="92" t="s">
        <v>858</v>
      </c>
      <c r="C115" s="266"/>
      <c r="D115" s="219" t="s">
        <v>457</v>
      </c>
      <c r="E115" s="616" t="s">
        <v>162</v>
      </c>
      <c r="F115" s="616" t="s">
        <v>162</v>
      </c>
      <c r="G115" s="617">
        <f>G116+G117+G118+G120+G119+G123</f>
        <v>4518</v>
      </c>
      <c r="H115" s="617">
        <f>H116+H117+H118+H120+H123</f>
        <v>1022.3</v>
      </c>
      <c r="I115" s="617">
        <f>I116+I117+I118+I120+I119+I123</f>
        <v>3495.7</v>
      </c>
      <c r="J115" s="617">
        <f>J116+J117+J118+J120+J123</f>
        <v>0</v>
      </c>
    </row>
    <row r="116" spans="1:10" ht="38.25">
      <c r="A116" s="106" t="s">
        <v>110</v>
      </c>
      <c r="B116" s="92" t="s">
        <v>858</v>
      </c>
      <c r="C116" s="92" t="s">
        <v>311</v>
      </c>
      <c r="D116" s="219" t="s">
        <v>457</v>
      </c>
      <c r="E116" s="616" t="s">
        <v>162</v>
      </c>
      <c r="F116" s="616" t="s">
        <v>162</v>
      </c>
      <c r="G116" s="617">
        <f>'пр.7 2024г'!G728</f>
        <v>2684.9</v>
      </c>
      <c r="H116" s="117">
        <v>0</v>
      </c>
      <c r="I116" s="617">
        <v>2684.9</v>
      </c>
      <c r="J116" s="117">
        <v>0</v>
      </c>
    </row>
    <row r="117" spans="1:10" ht="38.25" hidden="1">
      <c r="A117" s="106" t="s">
        <v>6</v>
      </c>
      <c r="B117" s="92" t="s">
        <v>841</v>
      </c>
      <c r="C117" s="92" t="s">
        <v>316</v>
      </c>
      <c r="D117" s="219" t="s">
        <v>457</v>
      </c>
      <c r="E117" s="616" t="s">
        <v>162</v>
      </c>
      <c r="F117" s="616" t="s">
        <v>162</v>
      </c>
      <c r="G117" s="617">
        <f>'пр.7 2024г'!G729</f>
        <v>0</v>
      </c>
      <c r="H117" s="117">
        <v>0</v>
      </c>
      <c r="I117" s="617">
        <f>'[3]пр.7 2024г'!I718</f>
        <v>0</v>
      </c>
      <c r="J117" s="117">
        <v>0</v>
      </c>
    </row>
    <row r="118" spans="1:10" ht="51">
      <c r="A118" s="462" t="s">
        <v>325</v>
      </c>
      <c r="B118" s="92" t="s">
        <v>858</v>
      </c>
      <c r="C118" s="92" t="s">
        <v>326</v>
      </c>
      <c r="D118" s="219" t="s">
        <v>457</v>
      </c>
      <c r="E118" s="616" t="s">
        <v>162</v>
      </c>
      <c r="F118" s="616" t="s">
        <v>162</v>
      </c>
      <c r="G118" s="617">
        <f>'пр.7 2024г'!G730</f>
        <v>810.8</v>
      </c>
      <c r="H118" s="117">
        <v>0</v>
      </c>
      <c r="I118" s="617">
        <v>810.8</v>
      </c>
      <c r="J118" s="117">
        <v>0</v>
      </c>
    </row>
    <row r="119" spans="1:10" ht="38.25" hidden="1">
      <c r="A119" s="110" t="s">
        <v>209</v>
      </c>
      <c r="B119" s="92" t="s">
        <v>858</v>
      </c>
      <c r="C119" s="92" t="s">
        <v>312</v>
      </c>
      <c r="D119" s="219" t="s">
        <v>457</v>
      </c>
      <c r="E119" s="616" t="s">
        <v>162</v>
      </c>
      <c r="F119" s="616" t="s">
        <v>162</v>
      </c>
      <c r="G119" s="617">
        <f>'пр.7 2024г'!G731</f>
        <v>0</v>
      </c>
      <c r="H119" s="117"/>
      <c r="I119" s="617">
        <f>'[3]пр.7 2024г'!I720</f>
        <v>0</v>
      </c>
      <c r="J119" s="117"/>
    </row>
    <row r="120" spans="1:10" ht="76.5">
      <c r="A120" s="483" t="s">
        <v>570</v>
      </c>
      <c r="B120" s="92" t="s">
        <v>879</v>
      </c>
      <c r="C120" s="92"/>
      <c r="D120" s="219" t="s">
        <v>457</v>
      </c>
      <c r="E120" s="616" t="s">
        <v>162</v>
      </c>
      <c r="F120" s="616" t="s">
        <v>162</v>
      </c>
      <c r="G120" s="617">
        <f>G121+G122</f>
        <v>1022.3</v>
      </c>
      <c r="H120" s="617">
        <f>H121+H122</f>
        <v>1022.3</v>
      </c>
      <c r="I120" s="617">
        <f>I121+I122</f>
        <v>0</v>
      </c>
      <c r="J120" s="617">
        <f>J121+J122</f>
        <v>0</v>
      </c>
    </row>
    <row r="121" spans="1:10" ht="38.25">
      <c r="A121" s="106" t="s">
        <v>110</v>
      </c>
      <c r="B121" s="92" t="s">
        <v>879</v>
      </c>
      <c r="C121" s="92" t="s">
        <v>311</v>
      </c>
      <c r="D121" s="219" t="s">
        <v>457</v>
      </c>
      <c r="E121" s="616" t="s">
        <v>162</v>
      </c>
      <c r="F121" s="616" t="s">
        <v>162</v>
      </c>
      <c r="G121" s="617">
        <f>'пр.7 2024г'!G733</f>
        <v>785.17700000000002</v>
      </c>
      <c r="H121" s="617">
        <f>G121</f>
        <v>785.17700000000002</v>
      </c>
      <c r="I121" s="617">
        <v>0</v>
      </c>
      <c r="J121" s="617">
        <f>I121</f>
        <v>0</v>
      </c>
    </row>
    <row r="122" spans="1:10" ht="51">
      <c r="A122" s="462" t="s">
        <v>325</v>
      </c>
      <c r="B122" s="92" t="s">
        <v>879</v>
      </c>
      <c r="C122" s="92" t="s">
        <v>326</v>
      </c>
      <c r="D122" s="219" t="s">
        <v>457</v>
      </c>
      <c r="E122" s="616" t="s">
        <v>162</v>
      </c>
      <c r="F122" s="616" t="s">
        <v>162</v>
      </c>
      <c r="G122" s="617">
        <f>'пр.7 2024г'!G734</f>
        <v>237.12299999999999</v>
      </c>
      <c r="H122" s="617">
        <f>G122</f>
        <v>237.12299999999999</v>
      </c>
      <c r="I122" s="617">
        <v>0</v>
      </c>
      <c r="J122" s="617">
        <f>I122</f>
        <v>0</v>
      </c>
    </row>
    <row r="123" spans="1:10" ht="25.5">
      <c r="A123" s="462" t="s">
        <v>1069</v>
      </c>
      <c r="B123" s="92" t="s">
        <v>1070</v>
      </c>
      <c r="C123" s="92"/>
      <c r="D123" s="219" t="s">
        <v>457</v>
      </c>
      <c r="E123" s="616" t="s">
        <v>162</v>
      </c>
      <c r="F123" s="616" t="s">
        <v>162</v>
      </c>
      <c r="G123" s="617">
        <f>G124+G125</f>
        <v>0</v>
      </c>
      <c r="H123" s="617">
        <f>H124+H125</f>
        <v>0</v>
      </c>
      <c r="I123" s="617">
        <f>I124+I125</f>
        <v>0</v>
      </c>
      <c r="J123" s="617">
        <f>J124+J125</f>
        <v>0</v>
      </c>
    </row>
    <row r="124" spans="1:10" ht="25.5">
      <c r="A124" s="106" t="s">
        <v>324</v>
      </c>
      <c r="B124" s="92" t="s">
        <v>1070</v>
      </c>
      <c r="C124" s="266" t="s">
        <v>311</v>
      </c>
      <c r="D124" s="219" t="s">
        <v>457</v>
      </c>
      <c r="E124" s="616" t="s">
        <v>162</v>
      </c>
      <c r="F124" s="616" t="s">
        <v>162</v>
      </c>
      <c r="G124" s="617">
        <f>'пр.7 2024г'!G736</f>
        <v>0</v>
      </c>
      <c r="H124" s="617">
        <f>G124</f>
        <v>0</v>
      </c>
      <c r="I124" s="617">
        <f>'[3]пр.7 2024г'!I725</f>
        <v>0</v>
      </c>
      <c r="J124" s="617">
        <f>I124</f>
        <v>0</v>
      </c>
    </row>
    <row r="125" spans="1:10" ht="51">
      <c r="A125" s="462" t="s">
        <v>325</v>
      </c>
      <c r="B125" s="92" t="s">
        <v>1070</v>
      </c>
      <c r="C125" s="266" t="s">
        <v>326</v>
      </c>
      <c r="D125" s="219" t="s">
        <v>457</v>
      </c>
      <c r="E125" s="616" t="s">
        <v>162</v>
      </c>
      <c r="F125" s="616" t="s">
        <v>162</v>
      </c>
      <c r="G125" s="617">
        <f>'пр.7 2024г'!G737</f>
        <v>0</v>
      </c>
      <c r="H125" s="617">
        <f>G125</f>
        <v>0</v>
      </c>
      <c r="I125" s="617">
        <f>'[3]пр.7 2024г'!I726</f>
        <v>0</v>
      </c>
      <c r="J125" s="617">
        <f>I125</f>
        <v>0</v>
      </c>
    </row>
    <row r="126" spans="1:10" ht="43.5" customHeight="1">
      <c r="A126" s="574" t="s">
        <v>843</v>
      </c>
      <c r="B126" s="628" t="s">
        <v>842</v>
      </c>
      <c r="C126" s="628"/>
      <c r="D126" s="219"/>
      <c r="E126" s="267"/>
      <c r="F126" s="267"/>
      <c r="G126" s="324">
        <f>G127+G129+G133+G138+G142+G145+G150+G155</f>
        <v>4926.7999999999993</v>
      </c>
      <c r="H126" s="501">
        <f>H127+H129+H133+H138+H142+H145+H150+H155</f>
        <v>4926.7999999999993</v>
      </c>
      <c r="I126" s="324">
        <f>I127+I129+I133+I138+I142+I145+I150+I155</f>
        <v>5457.5999999999995</v>
      </c>
      <c r="J126" s="501">
        <f>J127+J129+J133+J138+J142+J145+J150+J155</f>
        <v>5457.5999999999995</v>
      </c>
    </row>
    <row r="127" spans="1:10" ht="51">
      <c r="A127" s="106" t="s">
        <v>449</v>
      </c>
      <c r="B127" s="100" t="s">
        <v>848</v>
      </c>
      <c r="C127" s="266"/>
      <c r="D127" s="219" t="s">
        <v>140</v>
      </c>
      <c r="E127" s="616" t="s">
        <v>152</v>
      </c>
      <c r="F127" s="616" t="s">
        <v>162</v>
      </c>
      <c r="G127" s="617">
        <f>G128</f>
        <v>11.7</v>
      </c>
      <c r="H127" s="663">
        <f>H128</f>
        <v>11.7</v>
      </c>
      <c r="I127" s="617">
        <f>I128</f>
        <v>2.9</v>
      </c>
      <c r="J127" s="663">
        <f>J128</f>
        <v>2.9</v>
      </c>
    </row>
    <row r="128" spans="1:10" ht="38.25">
      <c r="A128" s="110" t="s">
        <v>209</v>
      </c>
      <c r="B128" s="100" t="s">
        <v>848</v>
      </c>
      <c r="C128" s="266" t="s">
        <v>312</v>
      </c>
      <c r="D128" s="219" t="s">
        <v>140</v>
      </c>
      <c r="E128" s="616" t="s">
        <v>152</v>
      </c>
      <c r="F128" s="616" t="s">
        <v>162</v>
      </c>
      <c r="G128" s="617">
        <f>'пр.7 2024г'!G127</f>
        <v>11.7</v>
      </c>
      <c r="H128" s="323">
        <f>G128</f>
        <v>11.7</v>
      </c>
      <c r="I128" s="617">
        <v>2.9</v>
      </c>
      <c r="J128" s="323">
        <f>I128</f>
        <v>2.9</v>
      </c>
    </row>
    <row r="129" spans="1:10" ht="38.25">
      <c r="A129" s="40" t="s">
        <v>330</v>
      </c>
      <c r="B129" s="92" t="s">
        <v>849</v>
      </c>
      <c r="C129" s="266"/>
      <c r="D129" s="219" t="s">
        <v>140</v>
      </c>
      <c r="E129" s="616" t="s">
        <v>152</v>
      </c>
      <c r="F129" s="616" t="s">
        <v>178</v>
      </c>
      <c r="G129" s="617">
        <f>G130+G131+G132</f>
        <v>241.8</v>
      </c>
      <c r="H129" s="663">
        <f>H130+H131+H132</f>
        <v>241.8</v>
      </c>
      <c r="I129" s="617">
        <f>I130+I131+I132</f>
        <v>241.8</v>
      </c>
      <c r="J129" s="663">
        <f>J130+J131+J132</f>
        <v>241.8</v>
      </c>
    </row>
    <row r="130" spans="1:10" ht="38.25">
      <c r="A130" s="106" t="s">
        <v>110</v>
      </c>
      <c r="B130" s="92" t="s">
        <v>849</v>
      </c>
      <c r="C130" s="92" t="s">
        <v>311</v>
      </c>
      <c r="D130" s="219" t="s">
        <v>140</v>
      </c>
      <c r="E130" s="616" t="s">
        <v>152</v>
      </c>
      <c r="F130" s="616" t="s">
        <v>178</v>
      </c>
      <c r="G130" s="617">
        <f>'пр.7 2024г'!G144</f>
        <v>153.45622</v>
      </c>
      <c r="H130" s="117">
        <f>G130</f>
        <v>153.45622</v>
      </c>
      <c r="I130" s="617">
        <v>153.45622</v>
      </c>
      <c r="J130" s="117">
        <f>I130</f>
        <v>153.45622</v>
      </c>
    </row>
    <row r="131" spans="1:10" ht="51">
      <c r="A131" s="462" t="s">
        <v>325</v>
      </c>
      <c r="B131" s="92" t="s">
        <v>849</v>
      </c>
      <c r="C131" s="92" t="s">
        <v>326</v>
      </c>
      <c r="D131" s="219" t="s">
        <v>140</v>
      </c>
      <c r="E131" s="616" t="s">
        <v>152</v>
      </c>
      <c r="F131" s="616" t="s">
        <v>178</v>
      </c>
      <c r="G131" s="617">
        <f>'пр.7 2024г'!G145</f>
        <v>46.343780000000002</v>
      </c>
      <c r="H131" s="117">
        <f>G131</f>
        <v>46.343780000000002</v>
      </c>
      <c r="I131" s="617">
        <v>46.343780000000002</v>
      </c>
      <c r="J131" s="117">
        <f>I131</f>
        <v>46.343780000000002</v>
      </c>
    </row>
    <row r="132" spans="1:10" ht="38.25">
      <c r="A132" s="110" t="s">
        <v>209</v>
      </c>
      <c r="B132" s="92" t="s">
        <v>849</v>
      </c>
      <c r="C132" s="92" t="s">
        <v>312</v>
      </c>
      <c r="D132" s="219" t="s">
        <v>140</v>
      </c>
      <c r="E132" s="616" t="s">
        <v>152</v>
      </c>
      <c r="F132" s="616" t="s">
        <v>178</v>
      </c>
      <c r="G132" s="617">
        <f>'пр.7 2024г'!G146</f>
        <v>42</v>
      </c>
      <c r="H132" s="323">
        <f>G132</f>
        <v>42</v>
      </c>
      <c r="I132" s="617">
        <v>42</v>
      </c>
      <c r="J132" s="323">
        <f>I132</f>
        <v>42</v>
      </c>
    </row>
    <row r="133" spans="1:10" ht="38.25">
      <c r="A133" s="40" t="s">
        <v>23</v>
      </c>
      <c r="B133" s="92" t="s">
        <v>850</v>
      </c>
      <c r="C133" s="266"/>
      <c r="D133" s="219" t="s">
        <v>140</v>
      </c>
      <c r="E133" s="616" t="s">
        <v>152</v>
      </c>
      <c r="F133" s="616" t="s">
        <v>178</v>
      </c>
      <c r="G133" s="617">
        <f>G134+G135+G136+G137</f>
        <v>1053.5</v>
      </c>
      <c r="H133" s="663">
        <f>H134+H135+H136+H137</f>
        <v>1053.5</v>
      </c>
      <c r="I133" s="617">
        <f>I134+I135+I136+I137</f>
        <v>1053.5</v>
      </c>
      <c r="J133" s="663">
        <f>J134+J135+J136+J137</f>
        <v>1053.5</v>
      </c>
    </row>
    <row r="134" spans="1:10" ht="38.25">
      <c r="A134" s="106" t="s">
        <v>110</v>
      </c>
      <c r="B134" s="92" t="s">
        <v>850</v>
      </c>
      <c r="C134" s="92" t="s">
        <v>311</v>
      </c>
      <c r="D134" s="219" t="s">
        <v>140</v>
      </c>
      <c r="E134" s="616" t="s">
        <v>152</v>
      </c>
      <c r="F134" s="616" t="s">
        <v>178</v>
      </c>
      <c r="G134" s="617">
        <f>'пр.7 2024г'!G148</f>
        <v>738.17205000000001</v>
      </c>
      <c r="H134" s="117">
        <f>G134</f>
        <v>738.17205000000001</v>
      </c>
      <c r="I134" s="617">
        <v>738.17205000000001</v>
      </c>
      <c r="J134" s="117">
        <f>I134</f>
        <v>738.17205000000001</v>
      </c>
    </row>
    <row r="135" spans="1:10" ht="38.25">
      <c r="A135" s="106" t="s">
        <v>6</v>
      </c>
      <c r="B135" s="92" t="s">
        <v>850</v>
      </c>
      <c r="C135" s="92" t="s">
        <v>316</v>
      </c>
      <c r="D135" s="219" t="s">
        <v>140</v>
      </c>
      <c r="E135" s="616" t="s">
        <v>152</v>
      </c>
      <c r="F135" s="616" t="s">
        <v>178</v>
      </c>
      <c r="G135" s="617">
        <f>'пр.7 2024г'!G149</f>
        <v>8.23</v>
      </c>
      <c r="H135" s="117">
        <f t="shared" ref="H135:H137" si="20">G135</f>
        <v>8.23</v>
      </c>
      <c r="I135" s="617">
        <v>8.23</v>
      </c>
      <c r="J135" s="117">
        <f t="shared" ref="J135:J137" si="21">I135</f>
        <v>8.23</v>
      </c>
    </row>
    <row r="136" spans="1:10" ht="51">
      <c r="A136" s="462" t="s">
        <v>325</v>
      </c>
      <c r="B136" s="92" t="s">
        <v>850</v>
      </c>
      <c r="C136" s="92" t="s">
        <v>326</v>
      </c>
      <c r="D136" s="219" t="s">
        <v>140</v>
      </c>
      <c r="E136" s="616" t="s">
        <v>152</v>
      </c>
      <c r="F136" s="616" t="s">
        <v>178</v>
      </c>
      <c r="G136" s="617">
        <f>'пр.7 2024г'!G150</f>
        <v>222.92795000000001</v>
      </c>
      <c r="H136" s="117">
        <f t="shared" si="20"/>
        <v>222.92795000000001</v>
      </c>
      <c r="I136" s="617">
        <v>222.92795000000001</v>
      </c>
      <c r="J136" s="117">
        <f t="shared" si="21"/>
        <v>222.92795000000001</v>
      </c>
    </row>
    <row r="137" spans="1:10" ht="38.25">
      <c r="A137" s="110" t="s">
        <v>209</v>
      </c>
      <c r="B137" s="92" t="s">
        <v>850</v>
      </c>
      <c r="C137" s="92" t="s">
        <v>312</v>
      </c>
      <c r="D137" s="219" t="s">
        <v>140</v>
      </c>
      <c r="E137" s="616" t="s">
        <v>152</v>
      </c>
      <c r="F137" s="616" t="s">
        <v>178</v>
      </c>
      <c r="G137" s="617">
        <f>'пр.7 2024г'!G151</f>
        <v>84.17</v>
      </c>
      <c r="H137" s="323">
        <f t="shared" si="20"/>
        <v>84.17</v>
      </c>
      <c r="I137" s="617">
        <v>84.17</v>
      </c>
      <c r="J137" s="323">
        <f t="shared" si="21"/>
        <v>84.17</v>
      </c>
    </row>
    <row r="138" spans="1:10" ht="38.25">
      <c r="A138" s="263" t="str">
        <f>'пр.7 2024г'!A152</f>
        <v>Осуществление государственных полномочий по созданию и организации деятельности административных комиссий</v>
      </c>
      <c r="B138" s="101" t="s">
        <v>851</v>
      </c>
      <c r="C138" s="266"/>
      <c r="D138" s="219" t="s">
        <v>140</v>
      </c>
      <c r="E138" s="616" t="s">
        <v>152</v>
      </c>
      <c r="F138" s="616" t="s">
        <v>178</v>
      </c>
      <c r="G138" s="617">
        <f>G139+G140+G141</f>
        <v>326.59999999999997</v>
      </c>
      <c r="H138" s="663">
        <f>H139+H140+H141</f>
        <v>326.59999999999997</v>
      </c>
      <c r="I138" s="617">
        <f>I139+I140+I141</f>
        <v>326.59999999999997</v>
      </c>
      <c r="J138" s="663">
        <f>J139+J140+J141</f>
        <v>326.59999999999997</v>
      </c>
    </row>
    <row r="139" spans="1:10" ht="38.25">
      <c r="A139" s="106" t="s">
        <v>110</v>
      </c>
      <c r="B139" s="101" t="s">
        <v>851</v>
      </c>
      <c r="C139" s="92" t="s">
        <v>311</v>
      </c>
      <c r="D139" s="219" t="s">
        <v>140</v>
      </c>
      <c r="E139" s="616" t="s">
        <v>152</v>
      </c>
      <c r="F139" s="616" t="s">
        <v>178</v>
      </c>
      <c r="G139" s="617">
        <f>'пр.7 2024г'!G153</f>
        <v>215.35329999999999</v>
      </c>
      <c r="H139" s="117">
        <f>G139</f>
        <v>215.35329999999999</v>
      </c>
      <c r="I139" s="617">
        <v>215.35329999999999</v>
      </c>
      <c r="J139" s="117">
        <f>I139</f>
        <v>215.35329999999999</v>
      </c>
    </row>
    <row r="140" spans="1:10" ht="51">
      <c r="A140" s="462" t="s">
        <v>325</v>
      </c>
      <c r="B140" s="101" t="s">
        <v>851</v>
      </c>
      <c r="C140" s="92" t="s">
        <v>326</v>
      </c>
      <c r="D140" s="219" t="s">
        <v>140</v>
      </c>
      <c r="E140" s="616" t="s">
        <v>152</v>
      </c>
      <c r="F140" s="616" t="s">
        <v>178</v>
      </c>
      <c r="G140" s="617">
        <f>'пр.7 2024г'!G154</f>
        <v>65.036699999999996</v>
      </c>
      <c r="H140" s="117">
        <f>G140</f>
        <v>65.036699999999996</v>
      </c>
      <c r="I140" s="617">
        <v>65.036699999999996</v>
      </c>
      <c r="J140" s="117">
        <f>I140</f>
        <v>65.036699999999996</v>
      </c>
    </row>
    <row r="141" spans="1:10" ht="38.25">
      <c r="A141" s="110" t="s">
        <v>209</v>
      </c>
      <c r="B141" s="101" t="s">
        <v>851</v>
      </c>
      <c r="C141" s="92" t="s">
        <v>312</v>
      </c>
      <c r="D141" s="219" t="s">
        <v>140</v>
      </c>
      <c r="E141" s="616" t="s">
        <v>152</v>
      </c>
      <c r="F141" s="616" t="s">
        <v>178</v>
      </c>
      <c r="G141" s="617">
        <f>'пр.7 2024г'!G155</f>
        <v>46.21</v>
      </c>
      <c r="H141" s="117">
        <f>G141</f>
        <v>46.21</v>
      </c>
      <c r="I141" s="617">
        <v>46.21</v>
      </c>
      <c r="J141" s="117">
        <f>I141</f>
        <v>46.21</v>
      </c>
    </row>
    <row r="142" spans="1:10" ht="76.5">
      <c r="A142" s="40" t="s">
        <v>313</v>
      </c>
      <c r="B142" s="114" t="s">
        <v>860</v>
      </c>
      <c r="C142" s="114"/>
      <c r="D142" s="219" t="s">
        <v>140</v>
      </c>
      <c r="E142" s="616" t="s">
        <v>161</v>
      </c>
      <c r="F142" s="616" t="s">
        <v>159</v>
      </c>
      <c r="G142" s="617">
        <f>G143+G144</f>
        <v>3.8</v>
      </c>
      <c r="H142" s="663">
        <f>H143+H144</f>
        <v>3.8</v>
      </c>
      <c r="I142" s="617">
        <f>I143+I144</f>
        <v>3.8</v>
      </c>
      <c r="J142" s="663">
        <f>J143+J144</f>
        <v>3.8</v>
      </c>
    </row>
    <row r="143" spans="1:10" ht="25.5">
      <c r="A143" s="106" t="s">
        <v>324</v>
      </c>
      <c r="B143" s="114" t="s">
        <v>860</v>
      </c>
      <c r="C143" s="92" t="s">
        <v>311</v>
      </c>
      <c r="D143" s="219" t="s">
        <v>140</v>
      </c>
      <c r="E143" s="616" t="s">
        <v>161</v>
      </c>
      <c r="F143" s="616" t="s">
        <v>159</v>
      </c>
      <c r="G143" s="617">
        <f>'пр.7 2024г'!G225</f>
        <v>2.91859</v>
      </c>
      <c r="H143" s="117">
        <f>G143</f>
        <v>2.91859</v>
      </c>
      <c r="I143" s="617">
        <v>2.91859</v>
      </c>
      <c r="J143" s="117">
        <f>I143</f>
        <v>2.91859</v>
      </c>
    </row>
    <row r="144" spans="1:10" ht="51">
      <c r="A144" s="462" t="s">
        <v>325</v>
      </c>
      <c r="B144" s="114" t="s">
        <v>860</v>
      </c>
      <c r="C144" s="92" t="s">
        <v>326</v>
      </c>
      <c r="D144" s="219" t="s">
        <v>140</v>
      </c>
      <c r="E144" s="616" t="s">
        <v>161</v>
      </c>
      <c r="F144" s="616" t="s">
        <v>159</v>
      </c>
      <c r="G144" s="617">
        <f>'пр.7 2024г'!G226</f>
        <v>0.88141000000000003</v>
      </c>
      <c r="H144" s="117">
        <f>G144</f>
        <v>0.88141000000000003</v>
      </c>
      <c r="I144" s="617">
        <v>0.88141000000000003</v>
      </c>
      <c r="J144" s="117">
        <f>I144</f>
        <v>0.88141000000000003</v>
      </c>
    </row>
    <row r="145" spans="1:10" ht="51">
      <c r="A145" s="108" t="s">
        <v>124</v>
      </c>
      <c r="B145" s="101" t="s">
        <v>852</v>
      </c>
      <c r="C145" s="92"/>
      <c r="D145" s="219" t="s">
        <v>140</v>
      </c>
      <c r="E145" s="616" t="s">
        <v>157</v>
      </c>
      <c r="F145" s="616" t="s">
        <v>158</v>
      </c>
      <c r="G145" s="617">
        <f>G146+G148+G149+G147</f>
        <v>1078.6999999999998</v>
      </c>
      <c r="H145" s="617">
        <f>H146+H148+H149+H147</f>
        <v>1078.6999999999998</v>
      </c>
      <c r="I145" s="617">
        <f>I146+I148+I149+I147</f>
        <v>1618</v>
      </c>
      <c r="J145" s="617">
        <f>J146+J148+J149+J147</f>
        <v>1618</v>
      </c>
    </row>
    <row r="146" spans="1:10" ht="25.5">
      <c r="A146" s="106" t="s">
        <v>324</v>
      </c>
      <c r="B146" s="101" t="s">
        <v>852</v>
      </c>
      <c r="C146" s="92" t="s">
        <v>311</v>
      </c>
      <c r="D146" s="219" t="s">
        <v>140</v>
      </c>
      <c r="E146" s="616" t="s">
        <v>157</v>
      </c>
      <c r="F146" s="616" t="s">
        <v>158</v>
      </c>
      <c r="G146" s="617">
        <f>'пр.7 2024г'!G317</f>
        <v>738.0138199999999</v>
      </c>
      <c r="H146" s="117">
        <f>G146</f>
        <v>738.0138199999999</v>
      </c>
      <c r="I146" s="617">
        <v>1152.22273</v>
      </c>
      <c r="J146" s="117">
        <f>I146</f>
        <v>1152.22273</v>
      </c>
    </row>
    <row r="147" spans="1:10" ht="38.25">
      <c r="A147" s="106" t="s">
        <v>6</v>
      </c>
      <c r="B147" s="101" t="s">
        <v>852</v>
      </c>
      <c r="C147" s="92" t="s">
        <v>316</v>
      </c>
      <c r="D147" s="219" t="s">
        <v>140</v>
      </c>
      <c r="E147" s="616" t="s">
        <v>157</v>
      </c>
      <c r="F147" s="616" t="s">
        <v>158</v>
      </c>
      <c r="G147" s="617">
        <f>'пр.7 2024г'!G318</f>
        <v>50.155999999999999</v>
      </c>
      <c r="H147" s="117">
        <f>G147</f>
        <v>50.155999999999999</v>
      </c>
      <c r="I147" s="617">
        <v>50.155999999999999</v>
      </c>
      <c r="J147" s="117">
        <f>I147</f>
        <v>50.155999999999999</v>
      </c>
    </row>
    <row r="148" spans="1:10" ht="51">
      <c r="A148" s="462" t="s">
        <v>325</v>
      </c>
      <c r="B148" s="101" t="s">
        <v>852</v>
      </c>
      <c r="C148" s="92" t="s">
        <v>326</v>
      </c>
      <c r="D148" s="219" t="s">
        <v>140</v>
      </c>
      <c r="E148" s="616" t="s">
        <v>157</v>
      </c>
      <c r="F148" s="616" t="s">
        <v>158</v>
      </c>
      <c r="G148" s="617">
        <f>'пр.7 2024г'!G319</f>
        <v>222.88018</v>
      </c>
      <c r="H148" s="117">
        <f>G148</f>
        <v>222.88018</v>
      </c>
      <c r="I148" s="617">
        <v>347.97127</v>
      </c>
      <c r="J148" s="117">
        <f>I148</f>
        <v>347.97127</v>
      </c>
    </row>
    <row r="149" spans="1:10" ht="38.25">
      <c r="A149" s="110" t="s">
        <v>209</v>
      </c>
      <c r="B149" s="101" t="s">
        <v>852</v>
      </c>
      <c r="C149" s="92" t="s">
        <v>312</v>
      </c>
      <c r="D149" s="219" t="s">
        <v>140</v>
      </c>
      <c r="E149" s="616" t="s">
        <v>157</v>
      </c>
      <c r="F149" s="616" t="s">
        <v>158</v>
      </c>
      <c r="G149" s="617">
        <f>'пр.7 2024г'!G320</f>
        <v>67.650000000000006</v>
      </c>
      <c r="H149" s="117">
        <f>G149</f>
        <v>67.650000000000006</v>
      </c>
      <c r="I149" s="617">
        <v>67.650000000000006</v>
      </c>
      <c r="J149" s="117">
        <f>I149</f>
        <v>67.650000000000006</v>
      </c>
    </row>
    <row r="150" spans="1:10" ht="38.25">
      <c r="A150" s="40" t="s">
        <v>123</v>
      </c>
      <c r="B150" s="114" t="s">
        <v>853</v>
      </c>
      <c r="C150" s="114"/>
      <c r="D150" s="219" t="s">
        <v>140</v>
      </c>
      <c r="E150" s="616" t="s">
        <v>157</v>
      </c>
      <c r="F150" s="616" t="s">
        <v>158</v>
      </c>
      <c r="G150" s="617">
        <f>G151+G152+G153+G154</f>
        <v>2157.2999999999997</v>
      </c>
      <c r="H150" s="663">
        <f>H151+H152+H153+H154</f>
        <v>2157.2999999999997</v>
      </c>
      <c r="I150" s="617">
        <f>I151+I152+I153+I154</f>
        <v>2157.6</v>
      </c>
      <c r="J150" s="663">
        <f>J151+J152+J153+J154</f>
        <v>2157.6</v>
      </c>
    </row>
    <row r="151" spans="1:10" ht="25.5">
      <c r="A151" s="106" t="s">
        <v>324</v>
      </c>
      <c r="B151" s="114" t="s">
        <v>853</v>
      </c>
      <c r="C151" s="92" t="s">
        <v>311</v>
      </c>
      <c r="D151" s="219" t="s">
        <v>140</v>
      </c>
      <c r="E151" s="616" t="s">
        <v>157</v>
      </c>
      <c r="F151" s="616" t="s">
        <v>158</v>
      </c>
      <c r="G151" s="617">
        <f>'пр.7 2024г'!G322</f>
        <v>1521.5053799999998</v>
      </c>
      <c r="H151" s="117">
        <f>G151</f>
        <v>1521.5053799999998</v>
      </c>
      <c r="I151" s="617">
        <v>1521.5053800000001</v>
      </c>
      <c r="J151" s="117">
        <f>I151</f>
        <v>1521.5053800000001</v>
      </c>
    </row>
    <row r="152" spans="1:10" ht="38.25">
      <c r="A152" s="106" t="s">
        <v>6</v>
      </c>
      <c r="B152" s="114" t="s">
        <v>853</v>
      </c>
      <c r="C152" s="92" t="s">
        <v>316</v>
      </c>
      <c r="D152" s="219" t="s">
        <v>140</v>
      </c>
      <c r="E152" s="616" t="s">
        <v>157</v>
      </c>
      <c r="F152" s="616" t="s">
        <v>158</v>
      </c>
      <c r="G152" s="617">
        <f>'пр.7 2024г'!G323</f>
        <v>24.2</v>
      </c>
      <c r="H152" s="117">
        <f>G152</f>
        <v>24.2</v>
      </c>
      <c r="I152" s="617">
        <v>24.2</v>
      </c>
      <c r="J152" s="117">
        <f>I152</f>
        <v>24.2</v>
      </c>
    </row>
    <row r="153" spans="1:10" ht="51">
      <c r="A153" s="462" t="s">
        <v>325</v>
      </c>
      <c r="B153" s="114" t="s">
        <v>853</v>
      </c>
      <c r="C153" s="92" t="s">
        <v>326</v>
      </c>
      <c r="D153" s="219" t="s">
        <v>140</v>
      </c>
      <c r="E153" s="616" t="s">
        <v>157</v>
      </c>
      <c r="F153" s="616" t="s">
        <v>158</v>
      </c>
      <c r="G153" s="617">
        <f>'пр.7 2024г'!G324</f>
        <v>459.49462</v>
      </c>
      <c r="H153" s="117">
        <f>G153</f>
        <v>459.49462</v>
      </c>
      <c r="I153" s="617">
        <v>459.49462</v>
      </c>
      <c r="J153" s="117">
        <f>I153</f>
        <v>459.49462</v>
      </c>
    </row>
    <row r="154" spans="1:10" ht="38.25">
      <c r="A154" s="110" t="s">
        <v>209</v>
      </c>
      <c r="B154" s="114" t="s">
        <v>853</v>
      </c>
      <c r="C154" s="92" t="s">
        <v>312</v>
      </c>
      <c r="D154" s="219" t="s">
        <v>140</v>
      </c>
      <c r="E154" s="616" t="s">
        <v>157</v>
      </c>
      <c r="F154" s="616" t="s">
        <v>158</v>
      </c>
      <c r="G154" s="617">
        <f>'пр.7 2024г'!G325</f>
        <v>152.1</v>
      </c>
      <c r="H154" s="323">
        <f>G154</f>
        <v>152.1</v>
      </c>
      <c r="I154" s="617">
        <v>152.4</v>
      </c>
      <c r="J154" s="323">
        <f>I154</f>
        <v>152.4</v>
      </c>
    </row>
    <row r="155" spans="1:10" ht="63.75">
      <c r="A155" s="110" t="s">
        <v>754</v>
      </c>
      <c r="B155" s="92" t="s">
        <v>854</v>
      </c>
      <c r="C155" s="92"/>
      <c r="D155" s="219" t="s">
        <v>140</v>
      </c>
      <c r="E155" s="616" t="s">
        <v>157</v>
      </c>
      <c r="F155" s="616" t="s">
        <v>158</v>
      </c>
      <c r="G155" s="617">
        <f>G156+G157+G158</f>
        <v>53.4</v>
      </c>
      <c r="H155" s="663">
        <f>H156+H157+H158</f>
        <v>53.4</v>
      </c>
      <c r="I155" s="617">
        <f>I156+I157+I158</f>
        <v>53.400000000000006</v>
      </c>
      <c r="J155" s="663">
        <f>J156+J157+J158</f>
        <v>53.400000000000006</v>
      </c>
    </row>
    <row r="156" spans="1:10" ht="25.5">
      <c r="A156" s="106" t="s">
        <v>324</v>
      </c>
      <c r="B156" s="92" t="s">
        <v>854</v>
      </c>
      <c r="C156" s="92" t="s">
        <v>311</v>
      </c>
      <c r="D156" s="219" t="s">
        <v>140</v>
      </c>
      <c r="E156" s="616" t="s">
        <v>157</v>
      </c>
      <c r="F156" s="616" t="s">
        <v>158</v>
      </c>
      <c r="G156" s="617">
        <f>'пр.7 2024г'!G327</f>
        <v>29.372179999999993</v>
      </c>
      <c r="H156" s="117">
        <f>G156</f>
        <v>29.372179999999993</v>
      </c>
      <c r="I156" s="617">
        <v>29.37218</v>
      </c>
      <c r="J156" s="117">
        <f>I156</f>
        <v>29.37218</v>
      </c>
    </row>
    <row r="157" spans="1:10" ht="51">
      <c r="A157" s="462" t="s">
        <v>325</v>
      </c>
      <c r="B157" s="92" t="s">
        <v>854</v>
      </c>
      <c r="C157" s="92" t="s">
        <v>326</v>
      </c>
      <c r="D157" s="219" t="s">
        <v>140</v>
      </c>
      <c r="E157" s="616" t="s">
        <v>157</v>
      </c>
      <c r="F157" s="616" t="s">
        <v>158</v>
      </c>
      <c r="G157" s="617">
        <f>'пр.7 2024г'!G328</f>
        <v>8.8704000000000018</v>
      </c>
      <c r="H157" s="117">
        <f>G157</f>
        <v>8.8704000000000018</v>
      </c>
      <c r="I157" s="617">
        <v>8.8704000000000001</v>
      </c>
      <c r="J157" s="117">
        <f>I157</f>
        <v>8.8704000000000001</v>
      </c>
    </row>
    <row r="158" spans="1:10" ht="38.25">
      <c r="A158" s="110" t="s">
        <v>209</v>
      </c>
      <c r="B158" s="92" t="s">
        <v>854</v>
      </c>
      <c r="C158" s="92" t="s">
        <v>312</v>
      </c>
      <c r="D158" s="219" t="s">
        <v>140</v>
      </c>
      <c r="E158" s="616" t="s">
        <v>157</v>
      </c>
      <c r="F158" s="616" t="s">
        <v>158</v>
      </c>
      <c r="G158" s="617">
        <f>'пр.7 2024г'!G329</f>
        <v>15.15742</v>
      </c>
      <c r="H158" s="117">
        <f>G158</f>
        <v>15.15742</v>
      </c>
      <c r="I158" s="617">
        <v>15.15742</v>
      </c>
      <c r="J158" s="117">
        <f>I158</f>
        <v>15.15742</v>
      </c>
    </row>
    <row r="159" spans="1:10" ht="38.25">
      <c r="A159" s="548" t="s">
        <v>836</v>
      </c>
      <c r="B159" s="629" t="s">
        <v>855</v>
      </c>
      <c r="C159" s="630"/>
      <c r="D159" s="630" t="s">
        <v>140</v>
      </c>
      <c r="E159" s="631"/>
      <c r="F159" s="631"/>
      <c r="G159" s="632">
        <f>G160</f>
        <v>56357.2</v>
      </c>
      <c r="H159" s="288">
        <f>H160</f>
        <v>16071.5</v>
      </c>
      <c r="I159" s="632">
        <f>I160</f>
        <v>40135.699999999997</v>
      </c>
      <c r="J159" s="288">
        <f>J160</f>
        <v>0</v>
      </c>
    </row>
    <row r="160" spans="1:10" ht="38.25">
      <c r="A160" s="423" t="s">
        <v>837</v>
      </c>
      <c r="B160" s="514" t="s">
        <v>856</v>
      </c>
      <c r="C160" s="425"/>
      <c r="D160" s="425" t="s">
        <v>140</v>
      </c>
      <c r="E160" s="460"/>
      <c r="F160" s="460"/>
      <c r="G160" s="426">
        <f>G162+G164+G163+G161+G166</f>
        <v>56357.2</v>
      </c>
      <c r="H160" s="426">
        <f>H162+H164+H166</f>
        <v>16071.5</v>
      </c>
      <c r="I160" s="426">
        <f>I162+I164+I163+I161+I166</f>
        <v>40135.699999999997</v>
      </c>
      <c r="J160" s="426">
        <f>J162+J164+J166</f>
        <v>0</v>
      </c>
    </row>
    <row r="161" spans="1:10" ht="38.25" hidden="1">
      <c r="A161" s="110" t="s">
        <v>209</v>
      </c>
      <c r="B161" s="514" t="s">
        <v>1033</v>
      </c>
      <c r="C161" s="514" t="s">
        <v>312</v>
      </c>
      <c r="D161" s="514" t="s">
        <v>140</v>
      </c>
      <c r="E161" s="526" t="s">
        <v>152</v>
      </c>
      <c r="F161" s="526" t="s">
        <v>178</v>
      </c>
      <c r="G161" s="323">
        <f>'пр.7 2024г'!G157</f>
        <v>150</v>
      </c>
      <c r="H161" s="426"/>
      <c r="I161" s="323">
        <f>'[3]пр.7 2024г'!I162</f>
        <v>0</v>
      </c>
      <c r="J161" s="426"/>
    </row>
    <row r="162" spans="1:10" ht="51">
      <c r="A162" s="106" t="s">
        <v>204</v>
      </c>
      <c r="B162" s="514" t="s">
        <v>856</v>
      </c>
      <c r="C162" s="92" t="s">
        <v>319</v>
      </c>
      <c r="D162" s="92" t="s">
        <v>140</v>
      </c>
      <c r="E162" s="114" t="s">
        <v>152</v>
      </c>
      <c r="F162" s="114" t="s">
        <v>178</v>
      </c>
      <c r="G162" s="281">
        <f>'пр.7 2024г'!G159</f>
        <v>40135.699999999997</v>
      </c>
      <c r="H162" s="117">
        <v>0</v>
      </c>
      <c r="I162" s="281">
        <v>40135.699999999997</v>
      </c>
      <c r="J162" s="117">
        <v>0</v>
      </c>
    </row>
    <row r="163" spans="1:10" hidden="1">
      <c r="A163" s="106" t="s">
        <v>205</v>
      </c>
      <c r="B163" s="514" t="s">
        <v>856</v>
      </c>
      <c r="C163" s="92" t="s">
        <v>202</v>
      </c>
      <c r="D163" s="92" t="s">
        <v>140</v>
      </c>
      <c r="E163" s="114" t="s">
        <v>152</v>
      </c>
      <c r="F163" s="114" t="s">
        <v>178</v>
      </c>
      <c r="G163" s="281">
        <f>'пр.7 2024г'!G160</f>
        <v>0</v>
      </c>
      <c r="H163" s="117"/>
      <c r="I163" s="814"/>
      <c r="J163" s="814"/>
    </row>
    <row r="164" spans="1:10" ht="76.5">
      <c r="A164" s="483" t="s">
        <v>570</v>
      </c>
      <c r="B164" s="514" t="s">
        <v>878</v>
      </c>
      <c r="C164" s="92"/>
      <c r="D164" s="92" t="s">
        <v>140</v>
      </c>
      <c r="E164" s="114" t="s">
        <v>152</v>
      </c>
      <c r="F164" s="114" t="s">
        <v>178</v>
      </c>
      <c r="G164" s="281">
        <f>G165</f>
        <v>16071.5</v>
      </c>
      <c r="H164" s="117">
        <f>G164</f>
        <v>16071.5</v>
      </c>
      <c r="I164" s="814"/>
      <c r="J164" s="814"/>
    </row>
    <row r="165" spans="1:10">
      <c r="A165" s="106" t="s">
        <v>205</v>
      </c>
      <c r="B165" s="514" t="s">
        <v>878</v>
      </c>
      <c r="C165" s="92" t="s">
        <v>202</v>
      </c>
      <c r="D165" s="92" t="s">
        <v>140</v>
      </c>
      <c r="E165" s="114" t="s">
        <v>152</v>
      </c>
      <c r="F165" s="114" t="s">
        <v>178</v>
      </c>
      <c r="G165" s="281">
        <f>'пр.7 2024г'!G162</f>
        <v>16071.5</v>
      </c>
      <c r="H165" s="117">
        <f>G165</f>
        <v>16071.5</v>
      </c>
      <c r="I165" s="814">
        <v>0</v>
      </c>
      <c r="J165" s="814"/>
    </row>
    <row r="166" spans="1:10" ht="25.5" hidden="1">
      <c r="A166" s="462" t="s">
        <v>1069</v>
      </c>
      <c r="B166" s="92" t="s">
        <v>1070</v>
      </c>
      <c r="C166" s="92"/>
      <c r="D166" s="92" t="s">
        <v>140</v>
      </c>
      <c r="E166" s="114" t="s">
        <v>152</v>
      </c>
      <c r="F166" s="114" t="s">
        <v>178</v>
      </c>
      <c r="G166" s="281">
        <f>G167</f>
        <v>0</v>
      </c>
      <c r="H166" s="117">
        <f>H167</f>
        <v>0</v>
      </c>
    </row>
    <row r="167" spans="1:10" ht="25.5" hidden="1">
      <c r="A167" s="106" t="s">
        <v>324</v>
      </c>
      <c r="B167" s="92" t="s">
        <v>1070</v>
      </c>
      <c r="C167" s="92" t="s">
        <v>202</v>
      </c>
      <c r="D167" s="92" t="s">
        <v>140</v>
      </c>
      <c r="E167" s="114" t="s">
        <v>152</v>
      </c>
      <c r="F167" s="114" t="s">
        <v>178</v>
      </c>
      <c r="G167" s="281">
        <f>'пр.7 2024г'!G164</f>
        <v>0</v>
      </c>
      <c r="H167" s="117">
        <f>G167</f>
        <v>0</v>
      </c>
    </row>
    <row r="168" spans="1:10" ht="38.25">
      <c r="A168" s="113" t="s">
        <v>1112</v>
      </c>
      <c r="B168" s="105" t="s">
        <v>619</v>
      </c>
      <c r="C168" s="103"/>
      <c r="D168" s="103" t="s">
        <v>140</v>
      </c>
      <c r="E168" s="103" t="s">
        <v>155</v>
      </c>
      <c r="F168" s="103" t="s">
        <v>156</v>
      </c>
      <c r="G168" s="115">
        <f>G169+G173</f>
        <v>3223.4999999999995</v>
      </c>
      <c r="H168" s="115">
        <f>H169+H173</f>
        <v>2931.4999999999995</v>
      </c>
      <c r="I168" s="115">
        <f>I169+I173</f>
        <v>3223.4999999999995</v>
      </c>
      <c r="J168" s="115">
        <f>J169+J173</f>
        <v>2931.4999999999995</v>
      </c>
    </row>
    <row r="169" spans="1:10" ht="38.25">
      <c r="A169" s="176" t="s">
        <v>640</v>
      </c>
      <c r="B169" s="105" t="s">
        <v>387</v>
      </c>
      <c r="C169" s="425"/>
      <c r="D169" s="105" t="s">
        <v>140</v>
      </c>
      <c r="E169" s="105" t="s">
        <v>155</v>
      </c>
      <c r="F169" s="105" t="s">
        <v>156</v>
      </c>
      <c r="G169" s="426">
        <f>G170+G171</f>
        <v>292</v>
      </c>
      <c r="H169" s="323">
        <v>0</v>
      </c>
      <c r="I169" s="426">
        <f>I170+I171</f>
        <v>292</v>
      </c>
      <c r="J169" s="323">
        <v>0</v>
      </c>
    </row>
    <row r="170" spans="1:10" ht="38.25">
      <c r="A170" s="110" t="s">
        <v>209</v>
      </c>
      <c r="B170" s="105" t="s">
        <v>387</v>
      </c>
      <c r="C170" s="105" t="s">
        <v>312</v>
      </c>
      <c r="D170" s="105" t="s">
        <v>140</v>
      </c>
      <c r="E170" s="105" t="s">
        <v>155</v>
      </c>
      <c r="F170" s="105" t="s">
        <v>156</v>
      </c>
      <c r="G170" s="117">
        <f>'пр.7 2024г'!G174</f>
        <v>292</v>
      </c>
      <c r="H170" s="117">
        <v>0</v>
      </c>
      <c r="I170" s="117">
        <v>292</v>
      </c>
      <c r="J170" s="117">
        <v>0</v>
      </c>
    </row>
    <row r="171" spans="1:10" ht="51" hidden="1">
      <c r="A171" s="423" t="s">
        <v>1046</v>
      </c>
      <c r="B171" s="105" t="s">
        <v>387</v>
      </c>
      <c r="C171" s="105"/>
      <c r="D171" s="105" t="s">
        <v>140</v>
      </c>
      <c r="E171" s="105" t="s">
        <v>165</v>
      </c>
      <c r="F171" s="105" t="s">
        <v>155</v>
      </c>
      <c r="G171" s="117">
        <f>G172</f>
        <v>0</v>
      </c>
      <c r="H171" s="117">
        <v>0</v>
      </c>
      <c r="I171" s="117">
        <f>I172</f>
        <v>0</v>
      </c>
      <c r="J171" s="117">
        <v>0</v>
      </c>
    </row>
    <row r="172" spans="1:10" hidden="1">
      <c r="A172" s="714" t="s">
        <v>310</v>
      </c>
      <c r="B172" s="105" t="s">
        <v>387</v>
      </c>
      <c r="C172" s="105" t="s">
        <v>321</v>
      </c>
      <c r="D172" s="105" t="s">
        <v>140</v>
      </c>
      <c r="E172" s="105" t="s">
        <v>165</v>
      </c>
      <c r="F172" s="105" t="s">
        <v>155</v>
      </c>
      <c r="G172" s="117">
        <f>'пр.7 2024г'!G432</f>
        <v>0</v>
      </c>
      <c r="H172" s="117">
        <v>0</v>
      </c>
      <c r="I172" s="117">
        <f>'[3]пр.7 2024г'!I425</f>
        <v>0</v>
      </c>
      <c r="J172" s="117">
        <v>0</v>
      </c>
    </row>
    <row r="173" spans="1:10" ht="38.25">
      <c r="A173" s="574" t="s">
        <v>747</v>
      </c>
      <c r="B173" s="105" t="s">
        <v>825</v>
      </c>
      <c r="C173" s="105"/>
      <c r="D173" s="105" t="s">
        <v>140</v>
      </c>
      <c r="E173" s="105" t="s">
        <v>161</v>
      </c>
      <c r="F173" s="105" t="s">
        <v>162</v>
      </c>
      <c r="G173" s="117">
        <f>G174+G176+G179+G181</f>
        <v>2931.4999999999995</v>
      </c>
      <c r="H173" s="117">
        <f>H174+H176+H179+H181</f>
        <v>2931.4999999999995</v>
      </c>
      <c r="I173" s="117">
        <f>I174+I176+I179+I181</f>
        <v>2931.4999999999995</v>
      </c>
      <c r="J173" s="117">
        <f>J174+J176+J179+J181</f>
        <v>2931.4999999999995</v>
      </c>
    </row>
    <row r="174" spans="1:10" ht="38.25">
      <c r="A174" s="483" t="s">
        <v>403</v>
      </c>
      <c r="B174" s="101" t="s">
        <v>905</v>
      </c>
      <c r="C174" s="619"/>
      <c r="D174" s="105" t="s">
        <v>140</v>
      </c>
      <c r="E174" s="105" t="s">
        <v>161</v>
      </c>
      <c r="F174" s="105" t="s">
        <v>162</v>
      </c>
      <c r="G174" s="117">
        <f>G175</f>
        <v>2611.1999999999998</v>
      </c>
      <c r="H174" s="117">
        <f>H175</f>
        <v>2611.1999999999998</v>
      </c>
      <c r="I174" s="117">
        <f>I175</f>
        <v>2611.1999999999998</v>
      </c>
      <c r="J174" s="117">
        <f>J175</f>
        <v>2611.1999999999998</v>
      </c>
    </row>
    <row r="175" spans="1:10" ht="38.25">
      <c r="A175" s="110" t="s">
        <v>209</v>
      </c>
      <c r="B175" s="100" t="s">
        <v>905</v>
      </c>
      <c r="C175" s="282">
        <v>244</v>
      </c>
      <c r="D175" s="105" t="s">
        <v>140</v>
      </c>
      <c r="E175" s="105" t="s">
        <v>161</v>
      </c>
      <c r="F175" s="105" t="s">
        <v>162</v>
      </c>
      <c r="G175" s="117">
        <f>'пр.7 2024г'!G183</f>
        <v>2611.1999999999998</v>
      </c>
      <c r="H175" s="117">
        <f>G175</f>
        <v>2611.1999999999998</v>
      </c>
      <c r="I175" s="117">
        <v>2611.1999999999998</v>
      </c>
      <c r="J175" s="117">
        <f>I175</f>
        <v>2611.1999999999998</v>
      </c>
    </row>
    <row r="176" spans="1:10" ht="38.25">
      <c r="A176" s="483" t="s">
        <v>409</v>
      </c>
      <c r="B176" s="100" t="s">
        <v>809</v>
      </c>
      <c r="C176" s="619"/>
      <c r="D176" s="105" t="s">
        <v>140</v>
      </c>
      <c r="E176" s="105" t="s">
        <v>161</v>
      </c>
      <c r="F176" s="105" t="s">
        <v>162</v>
      </c>
      <c r="G176" s="117">
        <f>G177+G178</f>
        <v>39.200000000000003</v>
      </c>
      <c r="H176" s="117">
        <f>H177+H178</f>
        <v>39.200000000000003</v>
      </c>
      <c r="I176" s="117">
        <f>I177+I178</f>
        <v>39.200000000000003</v>
      </c>
      <c r="J176" s="117">
        <f>J177+J178</f>
        <v>39.200000000000003</v>
      </c>
    </row>
    <row r="177" spans="1:10" ht="25.5">
      <c r="A177" s="106" t="s">
        <v>324</v>
      </c>
      <c r="B177" s="100" t="s">
        <v>809</v>
      </c>
      <c r="C177" s="92" t="s">
        <v>311</v>
      </c>
      <c r="D177" s="105" t="s">
        <v>140</v>
      </c>
      <c r="E177" s="105" t="s">
        <v>161</v>
      </c>
      <c r="F177" s="105" t="s">
        <v>162</v>
      </c>
      <c r="G177" s="117">
        <f>'пр.7 2024г'!G185</f>
        <v>30.107530000000001</v>
      </c>
      <c r="H177" s="117">
        <f>G177</f>
        <v>30.107530000000001</v>
      </c>
      <c r="I177" s="117">
        <v>30.107530000000001</v>
      </c>
      <c r="J177" s="117">
        <f>I177</f>
        <v>30.107530000000001</v>
      </c>
    </row>
    <row r="178" spans="1:10" ht="51">
      <c r="A178" s="462" t="s">
        <v>325</v>
      </c>
      <c r="B178" s="100" t="s">
        <v>809</v>
      </c>
      <c r="C178" s="92" t="s">
        <v>326</v>
      </c>
      <c r="D178" s="105" t="s">
        <v>140</v>
      </c>
      <c r="E178" s="105" t="s">
        <v>161</v>
      </c>
      <c r="F178" s="105" t="s">
        <v>162</v>
      </c>
      <c r="G178" s="117">
        <f>'пр.7 2024г'!G186</f>
        <v>9.0924700000000005</v>
      </c>
      <c r="H178" s="117">
        <f>G178</f>
        <v>9.0924700000000005</v>
      </c>
      <c r="I178" s="117">
        <v>9.0924700000000005</v>
      </c>
      <c r="J178" s="117">
        <f>I178</f>
        <v>9.0924700000000005</v>
      </c>
    </row>
    <row r="179" spans="1:10" ht="51">
      <c r="A179" s="620" t="s">
        <v>781</v>
      </c>
      <c r="B179" s="100" t="s">
        <v>906</v>
      </c>
      <c r="C179" s="265"/>
      <c r="D179" s="105" t="s">
        <v>140</v>
      </c>
      <c r="E179" s="105" t="s">
        <v>161</v>
      </c>
      <c r="F179" s="105" t="s">
        <v>162</v>
      </c>
      <c r="G179" s="117">
        <f>G180</f>
        <v>244.4</v>
      </c>
      <c r="H179" s="117">
        <f>H180</f>
        <v>244.4</v>
      </c>
      <c r="I179" s="117">
        <f>I180</f>
        <v>244.4</v>
      </c>
      <c r="J179" s="117">
        <f>J180</f>
        <v>244.4</v>
      </c>
    </row>
    <row r="180" spans="1:10" ht="38.25">
      <c r="A180" s="110" t="s">
        <v>209</v>
      </c>
      <c r="B180" s="100" t="s">
        <v>811</v>
      </c>
      <c r="C180" s="265">
        <v>244</v>
      </c>
      <c r="D180" s="105" t="s">
        <v>140</v>
      </c>
      <c r="E180" s="105" t="s">
        <v>161</v>
      </c>
      <c r="F180" s="105" t="s">
        <v>162</v>
      </c>
      <c r="G180" s="117">
        <f>'пр.7 2024г'!G188</f>
        <v>244.4</v>
      </c>
      <c r="H180" s="117">
        <f>G180</f>
        <v>244.4</v>
      </c>
      <c r="I180" s="117">
        <v>244.4</v>
      </c>
      <c r="J180" s="117">
        <f>I180</f>
        <v>244.4</v>
      </c>
    </row>
    <row r="181" spans="1:10" ht="51">
      <c r="A181" s="620" t="s">
        <v>778</v>
      </c>
      <c r="B181" s="100" t="s">
        <v>812</v>
      </c>
      <c r="C181" s="265"/>
      <c r="D181" s="105" t="s">
        <v>140</v>
      </c>
      <c r="E181" s="105" t="s">
        <v>161</v>
      </c>
      <c r="F181" s="105" t="s">
        <v>162</v>
      </c>
      <c r="G181" s="117">
        <f>G182+G183</f>
        <v>36.700000000000003</v>
      </c>
      <c r="H181" s="117">
        <f>H182+H183</f>
        <v>36.700000000000003</v>
      </c>
      <c r="I181" s="117">
        <f>I182+I183</f>
        <v>36.700000000000003</v>
      </c>
      <c r="J181" s="117">
        <f>J182+J183</f>
        <v>36.700000000000003</v>
      </c>
    </row>
    <row r="182" spans="1:10" ht="25.5">
      <c r="A182" s="106" t="s">
        <v>324</v>
      </c>
      <c r="B182" s="100" t="s">
        <v>812</v>
      </c>
      <c r="C182" s="265">
        <v>121</v>
      </c>
      <c r="D182" s="105" t="s">
        <v>140</v>
      </c>
      <c r="E182" s="105" t="s">
        <v>161</v>
      </c>
      <c r="F182" s="105" t="s">
        <v>162</v>
      </c>
      <c r="G182" s="117">
        <f>'пр.7 2024г'!G190</f>
        <v>28.1874</v>
      </c>
      <c r="H182" s="117">
        <f>G182</f>
        <v>28.1874</v>
      </c>
      <c r="I182" s="117">
        <v>28.1874</v>
      </c>
      <c r="J182" s="117">
        <f>I182</f>
        <v>28.1874</v>
      </c>
    </row>
    <row r="183" spans="1:10" ht="51">
      <c r="A183" s="462" t="s">
        <v>325</v>
      </c>
      <c r="B183" s="100" t="s">
        <v>812</v>
      </c>
      <c r="C183" s="265">
        <v>129</v>
      </c>
      <c r="D183" s="105" t="s">
        <v>140</v>
      </c>
      <c r="E183" s="105" t="s">
        <v>161</v>
      </c>
      <c r="F183" s="105" t="s">
        <v>162</v>
      </c>
      <c r="G183" s="117">
        <f>'пр.7 2024г'!G191</f>
        <v>8.5126000000000008</v>
      </c>
      <c r="H183" s="117">
        <f>G183</f>
        <v>8.5126000000000008</v>
      </c>
      <c r="I183" s="117">
        <v>8.5126000000000008</v>
      </c>
      <c r="J183" s="117">
        <f>I183</f>
        <v>8.5126000000000008</v>
      </c>
    </row>
    <row r="184" spans="1:10" ht="38.25">
      <c r="A184" s="113" t="s">
        <v>1113</v>
      </c>
      <c r="B184" s="103" t="s">
        <v>428</v>
      </c>
      <c r="C184" s="103"/>
      <c r="D184" s="103" t="s">
        <v>140</v>
      </c>
      <c r="E184" s="103"/>
      <c r="F184" s="103"/>
      <c r="G184" s="115">
        <f>G185</f>
        <v>34878.486000000004</v>
      </c>
      <c r="H184" s="115">
        <f t="shared" ref="H184" si="22">H185</f>
        <v>20801.900000000001</v>
      </c>
      <c r="I184" s="115">
        <f>I185</f>
        <v>31610.085999999999</v>
      </c>
      <c r="J184" s="115">
        <f t="shared" ref="J184" si="23">J185</f>
        <v>17533.5</v>
      </c>
    </row>
    <row r="185" spans="1:10" ht="25.5">
      <c r="A185" s="113" t="s">
        <v>649</v>
      </c>
      <c r="B185" s="103" t="s">
        <v>684</v>
      </c>
      <c r="C185" s="103"/>
      <c r="D185" s="103" t="s">
        <v>140</v>
      </c>
      <c r="E185" s="103" t="s">
        <v>160</v>
      </c>
      <c r="F185" s="103" t="s">
        <v>685</v>
      </c>
      <c r="G185" s="115">
        <f>G186+G187+G188+G190+G193+G196+G197+G201+G203+G198+G189+G200</f>
        <v>34878.486000000004</v>
      </c>
      <c r="H185" s="115">
        <f>H186+H187+H188+H190+H193+H196+H197+H201+H203+H198+H189+H200</f>
        <v>20801.900000000001</v>
      </c>
      <c r="I185" s="115">
        <f>I186+I187+I188+I190+I196+I200+I201+I203</f>
        <v>31610.085999999999</v>
      </c>
      <c r="J185" s="115">
        <f>J200+J203+J198</f>
        <v>17533.5</v>
      </c>
    </row>
    <row r="186" spans="1:10" s="180" customFormat="1" ht="51">
      <c r="A186" s="263" t="s">
        <v>529</v>
      </c>
      <c r="B186" s="100" t="s">
        <v>397</v>
      </c>
      <c r="C186" s="514" t="s">
        <v>528</v>
      </c>
      <c r="D186" s="105" t="s">
        <v>140</v>
      </c>
      <c r="E186" s="105" t="s">
        <v>160</v>
      </c>
      <c r="F186" s="105" t="s">
        <v>152</v>
      </c>
      <c r="G186" s="323">
        <f>'пр.7 2024г'!G334</f>
        <v>12</v>
      </c>
      <c r="H186" s="426">
        <v>0</v>
      </c>
      <c r="I186" s="323">
        <v>12</v>
      </c>
      <c r="J186" s="426">
        <v>0</v>
      </c>
    </row>
    <row r="187" spans="1:10" ht="38.25">
      <c r="A187" s="110" t="s">
        <v>209</v>
      </c>
      <c r="B187" s="100" t="s">
        <v>397</v>
      </c>
      <c r="C187" s="100" t="s">
        <v>312</v>
      </c>
      <c r="D187" s="105" t="s">
        <v>140</v>
      </c>
      <c r="E187" s="105" t="s">
        <v>160</v>
      </c>
      <c r="F187" s="105" t="s">
        <v>152</v>
      </c>
      <c r="G187" s="117">
        <f>'пр.7 2024г'!G335</f>
        <v>300</v>
      </c>
      <c r="H187" s="117">
        <v>0</v>
      </c>
      <c r="I187" s="117">
        <v>300</v>
      </c>
      <c r="J187" s="117">
        <v>0</v>
      </c>
    </row>
    <row r="188" spans="1:10">
      <c r="A188" s="465" t="s">
        <v>494</v>
      </c>
      <c r="B188" s="100" t="s">
        <v>397</v>
      </c>
      <c r="C188" s="100" t="s">
        <v>493</v>
      </c>
      <c r="D188" s="105" t="s">
        <v>140</v>
      </c>
      <c r="E188" s="105" t="s">
        <v>160</v>
      </c>
      <c r="F188" s="105" t="s">
        <v>152</v>
      </c>
      <c r="G188" s="117">
        <f>'пр.7 2024г'!G336</f>
        <v>888</v>
      </c>
      <c r="H188" s="117">
        <v>0</v>
      </c>
      <c r="I188" s="117">
        <v>888</v>
      </c>
      <c r="J188" s="117">
        <v>0</v>
      </c>
    </row>
    <row r="189" spans="1:10" hidden="1">
      <c r="A189" s="106" t="s">
        <v>130</v>
      </c>
      <c r="B189" s="100" t="s">
        <v>397</v>
      </c>
      <c r="C189" s="100" t="s">
        <v>746</v>
      </c>
      <c r="D189" s="105" t="s">
        <v>140</v>
      </c>
      <c r="E189" s="105" t="s">
        <v>160</v>
      </c>
      <c r="F189" s="105" t="s">
        <v>152</v>
      </c>
      <c r="G189" s="117">
        <f>'пр.7 2024г'!G337</f>
        <v>0</v>
      </c>
      <c r="H189" s="117"/>
      <c r="I189" s="117"/>
      <c r="J189" s="117"/>
    </row>
    <row r="190" spans="1:10" ht="25.5">
      <c r="A190" s="40" t="s">
        <v>72</v>
      </c>
      <c r="B190" s="92" t="s">
        <v>821</v>
      </c>
      <c r="C190" s="92"/>
      <c r="D190" s="105" t="s">
        <v>140</v>
      </c>
      <c r="E190" s="105" t="s">
        <v>160</v>
      </c>
      <c r="F190" s="105" t="s">
        <v>153</v>
      </c>
      <c r="G190" s="117">
        <f>G191+G192</f>
        <v>2320.9859999999999</v>
      </c>
      <c r="H190" s="117">
        <f>H191+H192</f>
        <v>0</v>
      </c>
      <c r="I190" s="117">
        <f>I191+I192</f>
        <v>2320.9859999999999</v>
      </c>
      <c r="J190" s="117">
        <v>0</v>
      </c>
    </row>
    <row r="191" spans="1:10">
      <c r="A191" s="106" t="s">
        <v>446</v>
      </c>
      <c r="B191" s="92" t="s">
        <v>821</v>
      </c>
      <c r="C191" s="92" t="s">
        <v>332</v>
      </c>
      <c r="D191" s="105" t="s">
        <v>140</v>
      </c>
      <c r="E191" s="105" t="s">
        <v>160</v>
      </c>
      <c r="F191" s="105" t="s">
        <v>153</v>
      </c>
      <c r="G191" s="117">
        <f>'пр.7 2024г'!G342</f>
        <v>1782.6310000000001</v>
      </c>
      <c r="H191" s="117">
        <v>0</v>
      </c>
      <c r="I191" s="117">
        <v>1782.6310000000001</v>
      </c>
      <c r="J191" s="117">
        <v>0</v>
      </c>
    </row>
    <row r="192" spans="1:10" ht="51">
      <c r="A192" s="109" t="s">
        <v>447</v>
      </c>
      <c r="B192" s="92" t="s">
        <v>821</v>
      </c>
      <c r="C192" s="114" t="s">
        <v>334</v>
      </c>
      <c r="D192" s="105" t="s">
        <v>140</v>
      </c>
      <c r="E192" s="105" t="s">
        <v>160</v>
      </c>
      <c r="F192" s="105" t="s">
        <v>153</v>
      </c>
      <c r="G192" s="117">
        <f>'пр.7 2024г'!G343</f>
        <v>538.35500000000002</v>
      </c>
      <c r="H192" s="117">
        <v>0</v>
      </c>
      <c r="I192" s="117">
        <v>538.35500000000002</v>
      </c>
      <c r="J192" s="117">
        <v>0</v>
      </c>
    </row>
    <row r="193" spans="1:10" ht="25.5" hidden="1">
      <c r="A193" s="40" t="s">
        <v>294</v>
      </c>
      <c r="B193" s="92" t="s">
        <v>821</v>
      </c>
      <c r="C193" s="92"/>
      <c r="D193" s="105" t="s">
        <v>140</v>
      </c>
      <c r="E193" s="105" t="s">
        <v>160</v>
      </c>
      <c r="F193" s="105" t="s">
        <v>153</v>
      </c>
      <c r="G193" s="117">
        <f>G194+G195</f>
        <v>0</v>
      </c>
      <c r="H193" s="117">
        <v>0</v>
      </c>
      <c r="I193" s="117">
        <f>I194+I195</f>
        <v>55722</v>
      </c>
      <c r="J193" s="117">
        <v>0</v>
      </c>
    </row>
    <row r="194" spans="1:10" hidden="1">
      <c r="A194" s="106" t="s">
        <v>446</v>
      </c>
      <c r="B194" s="92" t="s">
        <v>821</v>
      </c>
      <c r="C194" s="92" t="s">
        <v>332</v>
      </c>
      <c r="D194" s="105" t="s">
        <v>140</v>
      </c>
      <c r="E194" s="105" t="s">
        <v>160</v>
      </c>
      <c r="F194" s="105" t="s">
        <v>153</v>
      </c>
      <c r="G194" s="117">
        <f>'пр.7 2024г'!G345</f>
        <v>0</v>
      </c>
      <c r="H194" s="117">
        <v>0</v>
      </c>
      <c r="I194" s="117">
        <f>'[3]пр.7 2024г'!I338</f>
        <v>27861</v>
      </c>
      <c r="J194" s="117">
        <v>0</v>
      </c>
    </row>
    <row r="195" spans="1:10" ht="51" hidden="1">
      <c r="A195" s="109" t="s">
        <v>447</v>
      </c>
      <c r="B195" s="92" t="s">
        <v>821</v>
      </c>
      <c r="C195" s="100" t="s">
        <v>334</v>
      </c>
      <c r="D195" s="105" t="s">
        <v>140</v>
      </c>
      <c r="E195" s="105" t="s">
        <v>160</v>
      </c>
      <c r="F195" s="105" t="s">
        <v>153</v>
      </c>
      <c r="G195" s="117">
        <f>'пр.7 2024г'!G346</f>
        <v>0</v>
      </c>
      <c r="H195" s="117">
        <v>0</v>
      </c>
      <c r="I195" s="117">
        <f>'[3]пр.7 2024г'!I339</f>
        <v>27861</v>
      </c>
      <c r="J195" s="117">
        <v>0</v>
      </c>
    </row>
    <row r="196" spans="1:10">
      <c r="A196" s="106" t="s">
        <v>269</v>
      </c>
      <c r="B196" s="100" t="s">
        <v>397</v>
      </c>
      <c r="C196" s="100" t="s">
        <v>270</v>
      </c>
      <c r="D196" s="105" t="s">
        <v>140</v>
      </c>
      <c r="E196" s="105" t="s">
        <v>160</v>
      </c>
      <c r="F196" s="105" t="s">
        <v>155</v>
      </c>
      <c r="G196" s="117">
        <f>'пр.7 2024г'!G354</f>
        <v>4793.7999999999993</v>
      </c>
      <c r="H196" s="117">
        <v>0</v>
      </c>
      <c r="I196" s="117">
        <v>4793.8</v>
      </c>
      <c r="J196" s="117">
        <v>0</v>
      </c>
    </row>
    <row r="197" spans="1:10" ht="25.5">
      <c r="A197" s="40" t="s">
        <v>519</v>
      </c>
      <c r="B197" s="478" t="s">
        <v>521</v>
      </c>
      <c r="C197" s="100"/>
      <c r="D197" s="105" t="s">
        <v>140</v>
      </c>
      <c r="E197" s="105" t="s">
        <v>160</v>
      </c>
      <c r="F197" s="105" t="s">
        <v>155</v>
      </c>
      <c r="G197" s="117">
        <v>0</v>
      </c>
      <c r="H197" s="117">
        <v>0</v>
      </c>
      <c r="I197" s="117">
        <v>0</v>
      </c>
      <c r="J197" s="117">
        <v>0</v>
      </c>
    </row>
    <row r="198" spans="1:10" ht="76.5">
      <c r="A198" s="483" t="s">
        <v>570</v>
      </c>
      <c r="B198" s="100" t="s">
        <v>1000</v>
      </c>
      <c r="C198" s="100"/>
      <c r="D198" s="105" t="s">
        <v>140</v>
      </c>
      <c r="E198" s="105" t="s">
        <v>160</v>
      </c>
      <c r="F198" s="105" t="s">
        <v>155</v>
      </c>
      <c r="G198" s="117">
        <f>G199</f>
        <v>3268</v>
      </c>
      <c r="H198" s="117">
        <f>H199</f>
        <v>3268</v>
      </c>
      <c r="I198" s="117">
        <v>0</v>
      </c>
      <c r="J198" s="117">
        <v>0</v>
      </c>
    </row>
    <row r="199" spans="1:10">
      <c r="A199" s="106" t="s">
        <v>267</v>
      </c>
      <c r="B199" s="100" t="s">
        <v>1000</v>
      </c>
      <c r="C199" s="100" t="s">
        <v>320</v>
      </c>
      <c r="D199" s="105" t="s">
        <v>140</v>
      </c>
      <c r="E199" s="105" t="s">
        <v>160</v>
      </c>
      <c r="F199" s="105" t="s">
        <v>155</v>
      </c>
      <c r="G199" s="117">
        <f>'пр.7 2024г'!G356</f>
        <v>3268</v>
      </c>
      <c r="H199" s="117">
        <f>G199</f>
        <v>3268</v>
      </c>
      <c r="I199" s="117">
        <v>0</v>
      </c>
      <c r="J199" s="117">
        <v>0</v>
      </c>
    </row>
    <row r="200" spans="1:10">
      <c r="A200" s="106" t="s">
        <v>269</v>
      </c>
      <c r="B200" s="479" t="s">
        <v>521</v>
      </c>
      <c r="C200" s="100" t="s">
        <v>270</v>
      </c>
      <c r="D200" s="105" t="s">
        <v>140</v>
      </c>
      <c r="E200" s="105" t="s">
        <v>160</v>
      </c>
      <c r="F200" s="105" t="s">
        <v>155</v>
      </c>
      <c r="G200" s="117">
        <f>'пр.7 2024г'!G358</f>
        <v>17305.400000000001</v>
      </c>
      <c r="H200" s="117">
        <f>G200</f>
        <v>17305.400000000001</v>
      </c>
      <c r="I200" s="117">
        <v>17305</v>
      </c>
      <c r="J200" s="117">
        <f>I200</f>
        <v>17305</v>
      </c>
    </row>
    <row r="201" spans="1:10" ht="38.25">
      <c r="A201" s="40" t="s">
        <v>526</v>
      </c>
      <c r="B201" s="478" t="s">
        <v>521</v>
      </c>
      <c r="C201" s="100"/>
      <c r="D201" s="105" t="s">
        <v>140</v>
      </c>
      <c r="E201" s="105" t="s">
        <v>160</v>
      </c>
      <c r="F201" s="105" t="s">
        <v>155</v>
      </c>
      <c r="G201" s="117">
        <f>G202</f>
        <v>5761.8</v>
      </c>
      <c r="H201" s="117">
        <f t="shared" ref="H201" si="24">H202</f>
        <v>0</v>
      </c>
      <c r="I201" s="117">
        <f>I202</f>
        <v>5761.8</v>
      </c>
      <c r="J201" s="117">
        <f t="shared" ref="J201" si="25">J202</f>
        <v>0</v>
      </c>
    </row>
    <row r="202" spans="1:10">
      <c r="A202" s="106" t="s">
        <v>269</v>
      </c>
      <c r="B202" s="479" t="s">
        <v>521</v>
      </c>
      <c r="C202" s="100" t="s">
        <v>270</v>
      </c>
      <c r="D202" s="105" t="s">
        <v>140</v>
      </c>
      <c r="E202" s="105" t="s">
        <v>160</v>
      </c>
      <c r="F202" s="105" t="s">
        <v>155</v>
      </c>
      <c r="G202" s="117">
        <f>'пр.7 2024г'!G360</f>
        <v>5761.8</v>
      </c>
      <c r="H202" s="117">
        <v>0</v>
      </c>
      <c r="I202" s="117">
        <v>5761.8</v>
      </c>
      <c r="J202" s="117">
        <v>0</v>
      </c>
    </row>
    <row r="203" spans="1:10" ht="229.5">
      <c r="A203" s="21" t="s">
        <v>525</v>
      </c>
      <c r="B203" s="92" t="s">
        <v>732</v>
      </c>
      <c r="C203" s="100"/>
      <c r="D203" s="105" t="s">
        <v>140</v>
      </c>
      <c r="E203" s="105" t="s">
        <v>157</v>
      </c>
      <c r="F203" s="105" t="s">
        <v>155</v>
      </c>
      <c r="G203" s="117">
        <f>G204</f>
        <v>228.5</v>
      </c>
      <c r="H203" s="117">
        <f>H204</f>
        <v>228.5</v>
      </c>
      <c r="I203" s="117">
        <f>I204</f>
        <v>228.5</v>
      </c>
      <c r="J203" s="117">
        <f>J204</f>
        <v>228.5</v>
      </c>
    </row>
    <row r="204" spans="1:10">
      <c r="A204" s="106" t="s">
        <v>269</v>
      </c>
      <c r="B204" s="92" t="s">
        <v>732</v>
      </c>
      <c r="C204" s="137" t="s">
        <v>270</v>
      </c>
      <c r="D204" s="105" t="s">
        <v>140</v>
      </c>
      <c r="E204" s="105" t="s">
        <v>157</v>
      </c>
      <c r="F204" s="105" t="s">
        <v>155</v>
      </c>
      <c r="G204" s="117">
        <f>'пр.7 2024г'!G300</f>
        <v>228.5</v>
      </c>
      <c r="H204" s="117">
        <f>G204</f>
        <v>228.5</v>
      </c>
      <c r="I204" s="117">
        <v>228.5</v>
      </c>
      <c r="J204" s="117">
        <f>I204</f>
        <v>228.5</v>
      </c>
    </row>
    <row r="205" spans="1:10" ht="38.25">
      <c r="A205" s="268" t="s">
        <v>943</v>
      </c>
      <c r="B205" s="194" t="s">
        <v>414</v>
      </c>
      <c r="C205" s="194"/>
      <c r="D205" s="194" t="s">
        <v>140</v>
      </c>
      <c r="E205" s="194"/>
      <c r="F205" s="194"/>
      <c r="G205" s="288">
        <f>G206+G215+G213</f>
        <v>651.75</v>
      </c>
      <c r="H205" s="288">
        <f>H206+H215</f>
        <v>321.7</v>
      </c>
      <c r="I205" s="815">
        <f>I207+I208+I210+I215</f>
        <v>651.75</v>
      </c>
      <c r="J205" s="815">
        <f>J207+J208+J210+J215</f>
        <v>321.7</v>
      </c>
    </row>
    <row r="206" spans="1:10" ht="25.5">
      <c r="A206" s="268" t="s">
        <v>641</v>
      </c>
      <c r="B206" s="194" t="s">
        <v>414</v>
      </c>
      <c r="C206" s="194"/>
      <c r="D206" s="194" t="s">
        <v>140</v>
      </c>
      <c r="E206" s="194" t="s">
        <v>686</v>
      </c>
      <c r="F206" s="194" t="s">
        <v>687</v>
      </c>
      <c r="G206" s="288">
        <f>G207+G208+G210</f>
        <v>521.70000000000005</v>
      </c>
      <c r="H206" s="288">
        <f>H207+H208+H210</f>
        <v>321.7</v>
      </c>
      <c r="I206" s="484">
        <f>I207+I208+I210</f>
        <v>521.70000000000005</v>
      </c>
      <c r="J206" s="484">
        <f>J207+J208+J210</f>
        <v>321.7</v>
      </c>
    </row>
    <row r="207" spans="1:10" ht="38.25">
      <c r="A207" s="110" t="s">
        <v>209</v>
      </c>
      <c r="B207" s="514" t="s">
        <v>389</v>
      </c>
      <c r="C207" s="425" t="s">
        <v>312</v>
      </c>
      <c r="D207" s="621" t="s">
        <v>140</v>
      </c>
      <c r="E207" s="621" t="s">
        <v>161</v>
      </c>
      <c r="F207" s="621" t="s">
        <v>162</v>
      </c>
      <c r="G207" s="426">
        <f>'пр.7 2024г'!G195</f>
        <v>200</v>
      </c>
      <c r="H207" s="288">
        <v>0</v>
      </c>
      <c r="I207" s="814">
        <v>200</v>
      </c>
      <c r="J207" s="814"/>
    </row>
    <row r="208" spans="1:10" ht="38.25">
      <c r="A208" s="40" t="s">
        <v>279</v>
      </c>
      <c r="B208" s="114" t="s">
        <v>813</v>
      </c>
      <c r="C208" s="622"/>
      <c r="D208" s="621" t="s">
        <v>140</v>
      </c>
      <c r="E208" s="621" t="s">
        <v>161</v>
      </c>
      <c r="F208" s="621" t="s">
        <v>162</v>
      </c>
      <c r="G208" s="597">
        <f>G209</f>
        <v>320</v>
      </c>
      <c r="H208" s="117">
        <f>H209</f>
        <v>320</v>
      </c>
      <c r="I208" s="814">
        <f>I209</f>
        <v>320</v>
      </c>
      <c r="J208" s="814">
        <f>J209</f>
        <v>320</v>
      </c>
    </row>
    <row r="209" spans="1:10" ht="76.5">
      <c r="A209" s="106" t="s">
        <v>531</v>
      </c>
      <c r="B209" s="114" t="s">
        <v>813</v>
      </c>
      <c r="C209" s="424">
        <v>812</v>
      </c>
      <c r="D209" s="621" t="s">
        <v>140</v>
      </c>
      <c r="E209" s="621" t="s">
        <v>161</v>
      </c>
      <c r="F209" s="621" t="s">
        <v>162</v>
      </c>
      <c r="G209" s="597">
        <f>'пр.7 2024г'!G197</f>
        <v>320</v>
      </c>
      <c r="H209" s="117">
        <f>G209</f>
        <v>320</v>
      </c>
      <c r="I209" s="814">
        <v>320</v>
      </c>
      <c r="J209" s="814">
        <v>320</v>
      </c>
    </row>
    <row r="210" spans="1:10" ht="51">
      <c r="A210" s="108" t="s">
        <v>408</v>
      </c>
      <c r="B210" s="101" t="s">
        <v>814</v>
      </c>
      <c r="C210" s="623"/>
      <c r="D210" s="621" t="s">
        <v>140</v>
      </c>
      <c r="E210" s="621" t="s">
        <v>161</v>
      </c>
      <c r="F210" s="621" t="s">
        <v>162</v>
      </c>
      <c r="G210" s="597">
        <f>G211+G212</f>
        <v>1.7</v>
      </c>
      <c r="H210" s="117">
        <f>H211+H212</f>
        <v>1.7</v>
      </c>
      <c r="I210" s="597">
        <f t="shared" ref="I210:J210" si="26">I211+I212</f>
        <v>1.7</v>
      </c>
      <c r="J210" s="597">
        <f t="shared" si="26"/>
        <v>1.7</v>
      </c>
    </row>
    <row r="211" spans="1:10" ht="25.5">
      <c r="A211" s="107" t="s">
        <v>324</v>
      </c>
      <c r="B211" s="101" t="s">
        <v>814</v>
      </c>
      <c r="C211" s="265">
        <v>121</v>
      </c>
      <c r="D211" s="621" t="s">
        <v>140</v>
      </c>
      <c r="E211" s="621" t="s">
        <v>161</v>
      </c>
      <c r="F211" s="621" t="s">
        <v>162</v>
      </c>
      <c r="G211" s="597">
        <f>'пр.7 2024г'!G199</f>
        <v>1.30568</v>
      </c>
      <c r="H211" s="117">
        <f>G211</f>
        <v>1.30568</v>
      </c>
      <c r="I211" s="597">
        <f>'пр.7 2024г'!I199</f>
        <v>1.30568</v>
      </c>
      <c r="J211" s="597">
        <f>'пр.7 2024г'!J199</f>
        <v>1.30568</v>
      </c>
    </row>
    <row r="212" spans="1:10" ht="51">
      <c r="A212" s="620" t="s">
        <v>325</v>
      </c>
      <c r="B212" s="101" t="s">
        <v>814</v>
      </c>
      <c r="C212" s="265">
        <v>129</v>
      </c>
      <c r="D212" s="621" t="s">
        <v>140</v>
      </c>
      <c r="E212" s="621" t="s">
        <v>161</v>
      </c>
      <c r="F212" s="621" t="s">
        <v>162</v>
      </c>
      <c r="G212" s="597">
        <f>'пр.7 2024г'!G200</f>
        <v>0.39432</v>
      </c>
      <c r="H212" s="117">
        <f>G212</f>
        <v>0.39432</v>
      </c>
      <c r="I212" s="597">
        <f>'пр.7 2024г'!I200</f>
        <v>0.39432</v>
      </c>
      <c r="J212" s="597">
        <f>'пр.7 2024г'!J200</f>
        <v>0.39432</v>
      </c>
    </row>
    <row r="213" spans="1:10" ht="25.5" hidden="1">
      <c r="A213" s="268" t="s">
        <v>944</v>
      </c>
      <c r="B213" s="194" t="s">
        <v>990</v>
      </c>
      <c r="C213" s="178"/>
      <c r="D213" s="685"/>
      <c r="E213" s="685"/>
      <c r="F213" s="685"/>
      <c r="G213" s="686">
        <f>G214</f>
        <v>0</v>
      </c>
      <c r="H213" s="117"/>
      <c r="I213" s="814"/>
      <c r="J213" s="814"/>
    </row>
    <row r="214" spans="1:10" hidden="1">
      <c r="A214" s="698" t="s">
        <v>263</v>
      </c>
      <c r="B214" s="12" t="s">
        <v>991</v>
      </c>
      <c r="C214" s="265">
        <v>322</v>
      </c>
      <c r="D214" s="621" t="s">
        <v>140</v>
      </c>
      <c r="E214" s="621" t="s">
        <v>157</v>
      </c>
      <c r="F214" s="621" t="s">
        <v>155</v>
      </c>
      <c r="G214" s="597">
        <v>0</v>
      </c>
      <c r="H214" s="117"/>
      <c r="I214" s="814"/>
      <c r="J214" s="814"/>
    </row>
    <row r="215" spans="1:10" ht="25.5">
      <c r="A215" s="627" t="s">
        <v>653</v>
      </c>
      <c r="B215" s="687" t="s">
        <v>993</v>
      </c>
      <c r="C215" s="194"/>
      <c r="D215" s="194" t="s">
        <v>140</v>
      </c>
      <c r="E215" s="510" t="s">
        <v>165</v>
      </c>
      <c r="F215" s="510" t="s">
        <v>155</v>
      </c>
      <c r="G215" s="288">
        <f>G216+G218</f>
        <v>130.05000000000001</v>
      </c>
      <c r="H215" s="117">
        <v>0</v>
      </c>
      <c r="I215" s="814">
        <f>I218</f>
        <v>130.05000000000001</v>
      </c>
      <c r="J215" s="814"/>
    </row>
    <row r="216" spans="1:10" ht="76.5" hidden="1">
      <c r="A216" s="490" t="s">
        <v>759</v>
      </c>
      <c r="B216" s="491" t="s">
        <v>625</v>
      </c>
      <c r="C216" s="100"/>
      <c r="D216" s="105" t="s">
        <v>140</v>
      </c>
      <c r="E216" s="137" t="s">
        <v>165</v>
      </c>
      <c r="F216" s="137" t="s">
        <v>155</v>
      </c>
      <c r="G216" s="117">
        <f>G217</f>
        <v>0</v>
      </c>
      <c r="H216" s="117">
        <v>0</v>
      </c>
      <c r="I216" s="814"/>
      <c r="J216" s="814"/>
    </row>
    <row r="217" spans="1:10" hidden="1">
      <c r="A217" s="106" t="s">
        <v>310</v>
      </c>
      <c r="B217" s="491" t="s">
        <v>625</v>
      </c>
      <c r="C217" s="100" t="s">
        <v>321</v>
      </c>
      <c r="D217" s="105" t="s">
        <v>140</v>
      </c>
      <c r="E217" s="137" t="s">
        <v>165</v>
      </c>
      <c r="F217" s="137" t="s">
        <v>155</v>
      </c>
      <c r="G217" s="117">
        <f>'пр.7 2024г'!G412</f>
        <v>0</v>
      </c>
      <c r="H217" s="117">
        <v>0</v>
      </c>
      <c r="I217" s="814"/>
      <c r="J217" s="814"/>
    </row>
    <row r="218" spans="1:10" ht="89.25">
      <c r="A218" s="490" t="s">
        <v>539</v>
      </c>
      <c r="B218" s="491" t="s">
        <v>625</v>
      </c>
      <c r="C218" s="100"/>
      <c r="D218" s="105" t="s">
        <v>140</v>
      </c>
      <c r="E218" s="137" t="s">
        <v>165</v>
      </c>
      <c r="F218" s="137" t="s">
        <v>155</v>
      </c>
      <c r="G218" s="117">
        <f>G219</f>
        <v>130.05000000000001</v>
      </c>
      <c r="H218" s="117">
        <v>0</v>
      </c>
      <c r="I218" s="814">
        <f>I219</f>
        <v>130.05000000000001</v>
      </c>
      <c r="J218" s="814"/>
    </row>
    <row r="219" spans="1:10">
      <c r="A219" s="106" t="s">
        <v>310</v>
      </c>
      <c r="B219" s="491" t="s">
        <v>625</v>
      </c>
      <c r="C219" s="137" t="s">
        <v>321</v>
      </c>
      <c r="D219" s="105" t="s">
        <v>140</v>
      </c>
      <c r="E219" s="137" t="s">
        <v>165</v>
      </c>
      <c r="F219" s="137" t="s">
        <v>155</v>
      </c>
      <c r="G219" s="117">
        <f>'пр.7 2024г'!G414</f>
        <v>130.05000000000001</v>
      </c>
      <c r="H219" s="117">
        <v>0</v>
      </c>
      <c r="I219" s="814">
        <v>130.05000000000001</v>
      </c>
      <c r="J219" s="814"/>
    </row>
    <row r="220" spans="1:10" ht="38.25">
      <c r="A220" s="111" t="s">
        <v>827</v>
      </c>
      <c r="B220" s="102" t="s">
        <v>414</v>
      </c>
      <c r="C220" s="103"/>
      <c r="D220" s="103" t="s">
        <v>457</v>
      </c>
      <c r="E220" s="103" t="s">
        <v>161</v>
      </c>
      <c r="F220" s="103" t="s">
        <v>159</v>
      </c>
      <c r="G220" s="115">
        <f>G221</f>
        <v>4252.2022300000008</v>
      </c>
      <c r="H220" s="115">
        <f>H221</f>
        <v>38.799999999999997</v>
      </c>
      <c r="I220" s="426">
        <f>I221+I222+I223+I225+I227+I229+I231+I233</f>
        <v>869619.18585000001</v>
      </c>
      <c r="J220" s="426">
        <f>J221+J222+J223+J225+J227+J229+J231+J233</f>
        <v>12046.666670000001</v>
      </c>
    </row>
    <row r="221" spans="1:10" ht="63.75">
      <c r="A221" s="423" t="s">
        <v>633</v>
      </c>
      <c r="B221" s="526" t="s">
        <v>414</v>
      </c>
      <c r="C221" s="425"/>
      <c r="D221" s="514" t="s">
        <v>457</v>
      </c>
      <c r="E221" s="526"/>
      <c r="F221" s="526"/>
      <c r="G221" s="426">
        <f>G222+G223+G224+G226+G228+G230+G232+G234</f>
        <v>4252.2022300000008</v>
      </c>
      <c r="H221" s="426">
        <f>H222+H223+H224+H226+H228+H230+H232+H234</f>
        <v>38.799999999999997</v>
      </c>
      <c r="I221" s="323">
        <f>'[3]пр.7 2024г'!I125</f>
        <v>2.9</v>
      </c>
      <c r="J221" s="426">
        <v>0</v>
      </c>
    </row>
    <row r="222" spans="1:10" ht="31.5" customHeight="1">
      <c r="A222" s="263" t="s">
        <v>314</v>
      </c>
      <c r="B222" s="526" t="s">
        <v>824</v>
      </c>
      <c r="C222" s="514" t="s">
        <v>816</v>
      </c>
      <c r="D222" s="514" t="s">
        <v>140</v>
      </c>
      <c r="E222" s="526" t="s">
        <v>152</v>
      </c>
      <c r="F222" s="526" t="s">
        <v>161</v>
      </c>
      <c r="G222" s="323">
        <f>'пр.7 2024г'!G121</f>
        <v>1112.6410000000001</v>
      </c>
      <c r="H222" s="426">
        <v>0</v>
      </c>
      <c r="I222" s="117">
        <v>1912.6410000000001</v>
      </c>
      <c r="J222" s="117">
        <v>0</v>
      </c>
    </row>
    <row r="223" spans="1:10" ht="38.25">
      <c r="A223" s="216" t="s">
        <v>200</v>
      </c>
      <c r="B223" s="105" t="s">
        <v>390</v>
      </c>
      <c r="C223" s="105" t="s">
        <v>312</v>
      </c>
      <c r="D223" s="105" t="s">
        <v>973</v>
      </c>
      <c r="E223" s="104" t="s">
        <v>161</v>
      </c>
      <c r="F223" s="104" t="s">
        <v>159</v>
      </c>
      <c r="G223" s="117">
        <f>'пр.7 2024г'!G706+'пр.7 2024г'!G204</f>
        <v>2702.7115100000001</v>
      </c>
      <c r="H223" s="117">
        <v>0</v>
      </c>
      <c r="I223" s="117">
        <v>2702.7115100000001</v>
      </c>
      <c r="J223" s="117">
        <f>J224</f>
        <v>240</v>
      </c>
    </row>
    <row r="224" spans="1:10" ht="38.25">
      <c r="A224" s="483" t="s">
        <v>336</v>
      </c>
      <c r="B224" s="92" t="s">
        <v>492</v>
      </c>
      <c r="C224" s="105"/>
      <c r="D224" s="105" t="s">
        <v>457</v>
      </c>
      <c r="E224" s="104" t="s">
        <v>161</v>
      </c>
      <c r="F224" s="104" t="s">
        <v>159</v>
      </c>
      <c r="G224" s="117">
        <f>G225</f>
        <v>0</v>
      </c>
      <c r="H224" s="117">
        <f>H225</f>
        <v>0</v>
      </c>
      <c r="I224" s="117">
        <f>I225</f>
        <v>240</v>
      </c>
      <c r="J224" s="117">
        <f>I224</f>
        <v>240</v>
      </c>
    </row>
    <row r="225" spans="1:10" ht="38.25">
      <c r="A225" s="110" t="s">
        <v>209</v>
      </c>
      <c r="B225" s="92" t="s">
        <v>492</v>
      </c>
      <c r="C225" s="105" t="s">
        <v>312</v>
      </c>
      <c r="D225" s="105" t="s">
        <v>457</v>
      </c>
      <c r="E225" s="104" t="s">
        <v>161</v>
      </c>
      <c r="F225" s="104" t="s">
        <v>159</v>
      </c>
      <c r="G225" s="117">
        <f>'пр.7 2024г'!G708</f>
        <v>0</v>
      </c>
      <c r="H225" s="117">
        <f>G225</f>
        <v>0</v>
      </c>
      <c r="I225" s="117">
        <v>240</v>
      </c>
      <c r="J225" s="117">
        <v>0</v>
      </c>
    </row>
    <row r="226" spans="1:10" ht="51">
      <c r="A226" s="404" t="s">
        <v>419</v>
      </c>
      <c r="B226" s="114" t="s">
        <v>418</v>
      </c>
      <c r="C226" s="104"/>
      <c r="D226" s="105" t="s">
        <v>457</v>
      </c>
      <c r="E226" s="104" t="s">
        <v>161</v>
      </c>
      <c r="F226" s="104" t="s">
        <v>159</v>
      </c>
      <c r="G226" s="117">
        <f>G227</f>
        <v>0</v>
      </c>
      <c r="H226" s="117">
        <v>0</v>
      </c>
      <c r="I226" s="117">
        <f>'[3]пр.7 2024г'!I698</f>
        <v>0</v>
      </c>
      <c r="J226" s="117">
        <v>0</v>
      </c>
    </row>
    <row r="227" spans="1:10" ht="38.25">
      <c r="A227" s="216" t="s">
        <v>200</v>
      </c>
      <c r="B227" s="92" t="s">
        <v>418</v>
      </c>
      <c r="C227" s="105" t="s">
        <v>312</v>
      </c>
      <c r="D227" s="105" t="s">
        <v>457</v>
      </c>
      <c r="E227" s="104" t="s">
        <v>161</v>
      </c>
      <c r="F227" s="104" t="s">
        <v>159</v>
      </c>
      <c r="G227" s="117">
        <f>'пр.7 2024г'!G710</f>
        <v>0</v>
      </c>
      <c r="H227" s="117">
        <v>0</v>
      </c>
      <c r="I227" s="117">
        <f>I228</f>
        <v>11806.666670000001</v>
      </c>
      <c r="J227" s="117">
        <f>J228</f>
        <v>11806.666670000001</v>
      </c>
    </row>
    <row r="228" spans="1:10" ht="17.25" customHeight="1">
      <c r="A228" s="106" t="s">
        <v>769</v>
      </c>
      <c r="B228" s="92" t="s">
        <v>1258</v>
      </c>
      <c r="C228" s="92"/>
      <c r="D228" s="105" t="s">
        <v>457</v>
      </c>
      <c r="E228" s="104" t="s">
        <v>161</v>
      </c>
      <c r="F228" s="104" t="s">
        <v>159</v>
      </c>
      <c r="G228" s="117">
        <f>G229</f>
        <v>38.799999999999997</v>
      </c>
      <c r="H228" s="117">
        <f>H229</f>
        <v>38.799999999999997</v>
      </c>
      <c r="I228" s="117">
        <f>'[3]пр.7 2024г'!I700</f>
        <v>11806.666670000001</v>
      </c>
      <c r="J228" s="117">
        <f>I228</f>
        <v>11806.666670000001</v>
      </c>
    </row>
    <row r="229" spans="1:10" ht="38.25">
      <c r="A229" s="216" t="s">
        <v>200</v>
      </c>
      <c r="B229" s="92" t="s">
        <v>1258</v>
      </c>
      <c r="C229" s="105" t="s">
        <v>312</v>
      </c>
      <c r="D229" s="105" t="s">
        <v>457</v>
      </c>
      <c r="E229" s="104" t="s">
        <v>161</v>
      </c>
      <c r="F229" s="104" t="s">
        <v>159</v>
      </c>
      <c r="G229" s="117">
        <f>'пр.7 2024г'!G712</f>
        <v>38.799999999999997</v>
      </c>
      <c r="H229" s="117">
        <f>G229</f>
        <v>38.799999999999997</v>
      </c>
      <c r="I229" s="117">
        <f>I230</f>
        <v>11806.666670000001</v>
      </c>
      <c r="J229" s="117">
        <v>0</v>
      </c>
    </row>
    <row r="230" spans="1:10" ht="25.5">
      <c r="A230" s="110" t="s">
        <v>771</v>
      </c>
      <c r="B230" s="92" t="s">
        <v>772</v>
      </c>
      <c r="C230" s="105"/>
      <c r="D230" s="105" t="s">
        <v>457</v>
      </c>
      <c r="E230" s="104" t="s">
        <v>161</v>
      </c>
      <c r="F230" s="104" t="s">
        <v>159</v>
      </c>
      <c r="G230" s="117">
        <f>G231</f>
        <v>0</v>
      </c>
      <c r="H230" s="117">
        <v>0</v>
      </c>
      <c r="I230" s="117">
        <f>'[3]пр.7 2024г'!I702</f>
        <v>11806.666670000001</v>
      </c>
      <c r="J230" s="117">
        <v>0</v>
      </c>
    </row>
    <row r="231" spans="1:10" ht="38.25">
      <c r="A231" s="216" t="s">
        <v>200</v>
      </c>
      <c r="B231" s="92" t="s">
        <v>772</v>
      </c>
      <c r="C231" s="105" t="s">
        <v>312</v>
      </c>
      <c r="D231" s="105" t="s">
        <v>457</v>
      </c>
      <c r="E231" s="104" t="s">
        <v>161</v>
      </c>
      <c r="F231" s="104" t="s">
        <v>159</v>
      </c>
      <c r="G231" s="117">
        <f>'пр.7 2024г'!G714</f>
        <v>0</v>
      </c>
      <c r="H231" s="117">
        <v>0</v>
      </c>
      <c r="I231" s="117">
        <f>I232</f>
        <v>22582.800000000003</v>
      </c>
      <c r="J231" s="117">
        <v>0</v>
      </c>
    </row>
    <row r="232" spans="1:10" ht="41.25" customHeight="1">
      <c r="A232" s="624" t="s">
        <v>329</v>
      </c>
      <c r="B232" s="100" t="s">
        <v>823</v>
      </c>
      <c r="C232" s="105"/>
      <c r="D232" s="105"/>
      <c r="E232" s="104" t="s">
        <v>162</v>
      </c>
      <c r="F232" s="104" t="s">
        <v>162</v>
      </c>
      <c r="G232" s="117">
        <f>G233</f>
        <v>98.818079999999995</v>
      </c>
      <c r="H232" s="117">
        <v>0</v>
      </c>
      <c r="I232" s="117">
        <f>'[3]пр.7 2024г'!I236</f>
        <v>22582.800000000003</v>
      </c>
      <c r="J232" s="117">
        <v>0</v>
      </c>
    </row>
    <row r="233" spans="1:10" ht="38.25">
      <c r="A233" s="110" t="s">
        <v>209</v>
      </c>
      <c r="B233" s="100" t="s">
        <v>823</v>
      </c>
      <c r="C233" s="105" t="s">
        <v>312</v>
      </c>
      <c r="D233" s="105" t="s">
        <v>828</v>
      </c>
      <c r="E233" s="104" t="s">
        <v>162</v>
      </c>
      <c r="F233" s="104" t="s">
        <v>162</v>
      </c>
      <c r="G233" s="117">
        <f>'пр.7 2024г'!G232</f>
        <v>98.818079999999995</v>
      </c>
      <c r="H233" s="117">
        <v>0</v>
      </c>
      <c r="I233" s="117">
        <f>'[3]пр.7 2024г'!I728</f>
        <v>818564.8</v>
      </c>
      <c r="J233" s="117">
        <v>0</v>
      </c>
    </row>
    <row r="234" spans="1:10" ht="18.75" customHeight="1">
      <c r="A234" s="106" t="s">
        <v>210</v>
      </c>
      <c r="B234" s="92" t="s">
        <v>829</v>
      </c>
      <c r="C234" s="105" t="s">
        <v>817</v>
      </c>
      <c r="D234" s="105" t="s">
        <v>457</v>
      </c>
      <c r="E234" s="104" t="s">
        <v>162</v>
      </c>
      <c r="F234" s="104" t="s">
        <v>162</v>
      </c>
      <c r="G234" s="117">
        <f>'пр.7 2024г'!G740</f>
        <v>299.23164000000003</v>
      </c>
      <c r="H234" s="117">
        <v>0</v>
      </c>
      <c r="I234" s="814">
        <v>299.23164000000003</v>
      </c>
      <c r="J234" s="814"/>
    </row>
    <row r="235" spans="1:10" ht="38.25">
      <c r="A235" s="382" t="s">
        <v>861</v>
      </c>
      <c r="B235" s="178" t="s">
        <v>536</v>
      </c>
      <c r="C235" s="194"/>
      <c r="D235" s="194" t="s">
        <v>973</v>
      </c>
      <c r="E235" s="448"/>
      <c r="F235" s="448"/>
      <c r="G235" s="288">
        <f>G236</f>
        <v>800799.56400000001</v>
      </c>
      <c r="H235" s="288">
        <f>H236</f>
        <v>785133.8</v>
      </c>
      <c r="I235" s="484">
        <f>G235-H235</f>
        <v>15665.763999999966</v>
      </c>
      <c r="J235" s="489"/>
    </row>
    <row r="236" spans="1:10" ht="51">
      <c r="A236" s="176" t="s">
        <v>632</v>
      </c>
      <c r="B236" s="539" t="s">
        <v>536</v>
      </c>
      <c r="C236" s="425"/>
      <c r="D236" s="425" t="s">
        <v>973</v>
      </c>
      <c r="E236" s="460"/>
      <c r="F236" s="460"/>
      <c r="G236" s="426">
        <f>G237+G238+G239+G240+G241+G242+G243+G244+G245+G246+G251+G259+G266+G269+G247</f>
        <v>800799.56400000001</v>
      </c>
      <c r="H236" s="426">
        <f>H237+H251+H259+H266+H269+H271+H273+H246+H262+H264+H241+H247+H249+H244+H245+H242+H243+H239+H238+H240</f>
        <v>785133.8</v>
      </c>
      <c r="J236" s="489"/>
    </row>
    <row r="237" spans="1:10" ht="38.25">
      <c r="A237" s="110" t="s">
        <v>209</v>
      </c>
      <c r="B237" s="667" t="s">
        <v>429</v>
      </c>
      <c r="C237" s="92" t="s">
        <v>312</v>
      </c>
      <c r="D237" s="105" t="s">
        <v>457</v>
      </c>
      <c r="E237" s="104" t="s">
        <v>161</v>
      </c>
      <c r="F237" s="104" t="s">
        <v>159</v>
      </c>
      <c r="G237" s="117">
        <f>'пр.7 2024г'!G699</f>
        <v>6607.4871599999997</v>
      </c>
      <c r="H237" s="117">
        <v>0</v>
      </c>
    </row>
    <row r="238" spans="1:10" ht="38.25" hidden="1">
      <c r="A238" s="110" t="s">
        <v>209</v>
      </c>
      <c r="B238" s="718" t="s">
        <v>429</v>
      </c>
      <c r="C238" s="92" t="s">
        <v>312</v>
      </c>
      <c r="D238" s="105" t="s">
        <v>457</v>
      </c>
      <c r="E238" s="104" t="s">
        <v>162</v>
      </c>
      <c r="F238" s="104" t="s">
        <v>162</v>
      </c>
      <c r="G238" s="117">
        <f>'пр.7 2024г'!G742</f>
        <v>0</v>
      </c>
      <c r="H238" s="117"/>
    </row>
    <row r="239" spans="1:10" ht="38.25" hidden="1">
      <c r="A239" s="110" t="s">
        <v>209</v>
      </c>
      <c r="B239" s="718" t="s">
        <v>429</v>
      </c>
      <c r="C239" s="92" t="s">
        <v>312</v>
      </c>
      <c r="D239" s="105" t="s">
        <v>140</v>
      </c>
      <c r="E239" s="104" t="s">
        <v>163</v>
      </c>
      <c r="F239" s="104" t="s">
        <v>152</v>
      </c>
      <c r="G239" s="117">
        <v>0</v>
      </c>
      <c r="H239" s="117"/>
    </row>
    <row r="240" spans="1:10" ht="38.25">
      <c r="A240" s="724" t="s">
        <v>523</v>
      </c>
      <c r="B240" s="722" t="s">
        <v>429</v>
      </c>
      <c r="C240" s="92" t="s">
        <v>71</v>
      </c>
      <c r="D240" s="105" t="s">
        <v>140</v>
      </c>
      <c r="E240" s="104" t="s">
        <v>154</v>
      </c>
      <c r="F240" s="104" t="s">
        <v>155</v>
      </c>
      <c r="G240" s="117">
        <f>'пр.7 2024г'!G759</f>
        <v>8500</v>
      </c>
      <c r="H240" s="117">
        <v>0</v>
      </c>
    </row>
    <row r="241" spans="1:8" ht="38.25" hidden="1">
      <c r="A241" s="724" t="s">
        <v>523</v>
      </c>
      <c r="B241" s="708" t="s">
        <v>429</v>
      </c>
      <c r="C241" s="92" t="s">
        <v>71</v>
      </c>
      <c r="D241" s="105" t="s">
        <v>140</v>
      </c>
      <c r="E241" s="104" t="s">
        <v>163</v>
      </c>
      <c r="F241" s="104" t="s">
        <v>152</v>
      </c>
      <c r="G241" s="117">
        <f>'пр.7 2024г'!G280</f>
        <v>0</v>
      </c>
      <c r="H241" s="117"/>
    </row>
    <row r="242" spans="1:8" hidden="1">
      <c r="A242" s="106" t="s">
        <v>205</v>
      </c>
      <c r="B242" s="711" t="s">
        <v>429</v>
      </c>
      <c r="C242" s="92" t="s">
        <v>202</v>
      </c>
      <c r="D242" s="105" t="s">
        <v>82</v>
      </c>
      <c r="E242" s="104" t="s">
        <v>154</v>
      </c>
      <c r="F242" s="104" t="s">
        <v>152</v>
      </c>
      <c r="G242" s="117">
        <f>'пр.7 2024г'!G444</f>
        <v>0</v>
      </c>
      <c r="H242" s="117"/>
    </row>
    <row r="243" spans="1:8" hidden="1">
      <c r="A243" s="106" t="s">
        <v>205</v>
      </c>
      <c r="B243" s="711" t="s">
        <v>429</v>
      </c>
      <c r="C243" s="92" t="s">
        <v>202</v>
      </c>
      <c r="D243" s="105" t="s">
        <v>82</v>
      </c>
      <c r="E243" s="104" t="s">
        <v>154</v>
      </c>
      <c r="F243" s="104" t="s">
        <v>153</v>
      </c>
      <c r="G243" s="117">
        <f>'пр.7 2024г'!G554</f>
        <v>0</v>
      </c>
      <c r="H243" s="117"/>
    </row>
    <row r="244" spans="1:8" hidden="1">
      <c r="A244" s="106" t="s">
        <v>205</v>
      </c>
      <c r="B244" s="709" t="s">
        <v>429</v>
      </c>
      <c r="C244" s="92" t="s">
        <v>202</v>
      </c>
      <c r="D244" s="105" t="s">
        <v>140</v>
      </c>
      <c r="E244" s="104" t="s">
        <v>163</v>
      </c>
      <c r="F244" s="104" t="s">
        <v>152</v>
      </c>
      <c r="G244" s="117">
        <f>'пр.7 2024г'!G281</f>
        <v>0</v>
      </c>
      <c r="H244" s="117"/>
    </row>
    <row r="245" spans="1:8" hidden="1">
      <c r="A245" s="110" t="s">
        <v>1036</v>
      </c>
      <c r="B245" s="710" t="s">
        <v>429</v>
      </c>
      <c r="C245" s="92" t="s">
        <v>1037</v>
      </c>
      <c r="D245" s="105" t="s">
        <v>457</v>
      </c>
      <c r="E245" s="104" t="s">
        <v>162</v>
      </c>
      <c r="F245" s="104" t="s">
        <v>162</v>
      </c>
      <c r="G245" s="117">
        <f>'пр.7 2024г'!G743</f>
        <v>0</v>
      </c>
      <c r="H245" s="117"/>
    </row>
    <row r="246" spans="1:8" hidden="1">
      <c r="A246" s="106" t="s">
        <v>310</v>
      </c>
      <c r="B246" s="701" t="s">
        <v>1001</v>
      </c>
      <c r="C246" s="92" t="s">
        <v>321</v>
      </c>
      <c r="D246" s="105" t="s">
        <v>457</v>
      </c>
      <c r="E246" s="104" t="s">
        <v>165</v>
      </c>
      <c r="F246" s="104" t="s">
        <v>155</v>
      </c>
      <c r="G246" s="117">
        <f>'пр.7 2024г'!G400</f>
        <v>0</v>
      </c>
      <c r="H246" s="117">
        <f>G246</f>
        <v>0</v>
      </c>
    </row>
    <row r="247" spans="1:8" ht="51">
      <c r="A247" s="106" t="s">
        <v>896</v>
      </c>
      <c r="B247" s="92" t="s">
        <v>1027</v>
      </c>
      <c r="C247" s="92"/>
      <c r="D247" s="105" t="s">
        <v>140</v>
      </c>
      <c r="E247" s="104" t="s">
        <v>163</v>
      </c>
      <c r="F247" s="104" t="s">
        <v>152</v>
      </c>
      <c r="G247" s="117">
        <f>G248</f>
        <v>768088.8</v>
      </c>
      <c r="H247" s="117">
        <f>H248</f>
        <v>768088.8</v>
      </c>
    </row>
    <row r="248" spans="1:8">
      <c r="A248" s="106" t="s">
        <v>205</v>
      </c>
      <c r="B248" s="92" t="s">
        <v>1027</v>
      </c>
      <c r="C248" s="92" t="s">
        <v>202</v>
      </c>
      <c r="D248" s="105" t="s">
        <v>140</v>
      </c>
      <c r="E248" s="104" t="s">
        <v>163</v>
      </c>
      <c r="F248" s="104" t="s">
        <v>152</v>
      </c>
      <c r="G248" s="117">
        <f>'пр.7 2024г'!G256</f>
        <v>768088.8</v>
      </c>
      <c r="H248" s="117">
        <f>G248</f>
        <v>768088.8</v>
      </c>
    </row>
    <row r="249" spans="1:8" ht="51" hidden="1">
      <c r="A249" s="106" t="s">
        <v>896</v>
      </c>
      <c r="B249" s="92" t="s">
        <v>1028</v>
      </c>
      <c r="C249" s="92"/>
      <c r="D249" s="105" t="s">
        <v>140</v>
      </c>
      <c r="E249" s="104" t="s">
        <v>163</v>
      </c>
      <c r="F249" s="104" t="s">
        <v>152</v>
      </c>
      <c r="G249" s="117">
        <f>G250</f>
        <v>0</v>
      </c>
      <c r="H249" s="117">
        <f>H250</f>
        <v>0</v>
      </c>
    </row>
    <row r="250" spans="1:8" hidden="1">
      <c r="A250" s="106" t="s">
        <v>205</v>
      </c>
      <c r="B250" s="92" t="s">
        <v>1028</v>
      </c>
      <c r="C250" s="92" t="s">
        <v>202</v>
      </c>
      <c r="D250" s="105" t="s">
        <v>140</v>
      </c>
      <c r="E250" s="104" t="s">
        <v>163</v>
      </c>
      <c r="F250" s="104" t="s">
        <v>152</v>
      </c>
      <c r="G250" s="117">
        <f>'пр.7 2024г'!G279</f>
        <v>0</v>
      </c>
      <c r="H250" s="117">
        <f>G250</f>
        <v>0</v>
      </c>
    </row>
    <row r="251" spans="1:8" ht="75.75" customHeight="1">
      <c r="A251" s="483" t="s">
        <v>70</v>
      </c>
      <c r="B251" s="92" t="s">
        <v>545</v>
      </c>
      <c r="C251" s="92"/>
      <c r="D251" s="105"/>
      <c r="E251" s="104"/>
      <c r="F251" s="104"/>
      <c r="G251" s="117">
        <f>G252</f>
        <v>6530</v>
      </c>
      <c r="H251" s="117">
        <f>H252+H259</f>
        <v>6530</v>
      </c>
    </row>
    <row r="252" spans="1:8" ht="38.25">
      <c r="A252" s="110" t="s">
        <v>209</v>
      </c>
      <c r="B252" s="92" t="s">
        <v>545</v>
      </c>
      <c r="C252" s="592" t="s">
        <v>312</v>
      </c>
      <c r="D252" s="105" t="s">
        <v>457</v>
      </c>
      <c r="E252" s="104" t="s">
        <v>161</v>
      </c>
      <c r="F252" s="104" t="s">
        <v>159</v>
      </c>
      <c r="G252" s="117">
        <f>'пр.7 2024г'!G701</f>
        <v>6530</v>
      </c>
      <c r="H252" s="117">
        <f t="shared" ref="H252:H258" si="27">G252</f>
        <v>6530</v>
      </c>
    </row>
    <row r="253" spans="1:8" hidden="1">
      <c r="A253" s="106" t="s">
        <v>205</v>
      </c>
      <c r="B253" s="92" t="s">
        <v>545</v>
      </c>
      <c r="C253" s="592" t="s">
        <v>202</v>
      </c>
      <c r="D253" s="105" t="s">
        <v>82</v>
      </c>
      <c r="E253" s="104" t="s">
        <v>154</v>
      </c>
      <c r="F253" s="104" t="s">
        <v>153</v>
      </c>
      <c r="G253" s="117">
        <f>'пр.7 2024г'!G553</f>
        <v>0</v>
      </c>
      <c r="H253" s="117">
        <f t="shared" si="27"/>
        <v>0</v>
      </c>
    </row>
    <row r="254" spans="1:8" hidden="1">
      <c r="A254" s="106" t="s">
        <v>269</v>
      </c>
      <c r="B254" s="92" t="s">
        <v>545</v>
      </c>
      <c r="C254" s="592" t="s">
        <v>270</v>
      </c>
      <c r="D254" s="105" t="s">
        <v>140</v>
      </c>
      <c r="E254" s="104" t="s">
        <v>154</v>
      </c>
      <c r="F254" s="104" t="s">
        <v>155</v>
      </c>
      <c r="G254" s="117" t="e">
        <f>'пр.7 2024г'!#REF!</f>
        <v>#REF!</v>
      </c>
      <c r="H254" s="117" t="e">
        <f t="shared" si="27"/>
        <v>#REF!</v>
      </c>
    </row>
    <row r="255" spans="1:8" hidden="1">
      <c r="A255" s="106" t="s">
        <v>269</v>
      </c>
      <c r="B255" s="92" t="s">
        <v>545</v>
      </c>
      <c r="C255" s="592" t="s">
        <v>270</v>
      </c>
      <c r="D255" s="105" t="s">
        <v>82</v>
      </c>
      <c r="E255" s="104" t="s">
        <v>154</v>
      </c>
      <c r="F255" s="104" t="s">
        <v>154</v>
      </c>
      <c r="G255" s="117">
        <f>'пр.7 2024г'!G609</f>
        <v>0</v>
      </c>
      <c r="H255" s="117">
        <f t="shared" si="27"/>
        <v>0</v>
      </c>
    </row>
    <row r="256" spans="1:8" hidden="1">
      <c r="A256" s="106" t="s">
        <v>205</v>
      </c>
      <c r="B256" s="92" t="s">
        <v>545</v>
      </c>
      <c r="C256" s="592" t="s">
        <v>202</v>
      </c>
      <c r="D256" s="105" t="s">
        <v>140</v>
      </c>
      <c r="E256" s="104" t="s">
        <v>163</v>
      </c>
      <c r="F256" s="104" t="s">
        <v>152</v>
      </c>
      <c r="G256" s="117">
        <f>'пр.7 2024г'!G275</f>
        <v>0</v>
      </c>
      <c r="H256" s="117">
        <f t="shared" si="27"/>
        <v>0</v>
      </c>
    </row>
    <row r="257" spans="1:8" hidden="1">
      <c r="A257" s="106" t="s">
        <v>269</v>
      </c>
      <c r="B257" s="92" t="s">
        <v>545</v>
      </c>
      <c r="C257" s="592" t="s">
        <v>270</v>
      </c>
      <c r="D257" s="105" t="s">
        <v>140</v>
      </c>
      <c r="E257" s="104" t="s">
        <v>160</v>
      </c>
      <c r="F257" s="104" t="s">
        <v>155</v>
      </c>
      <c r="G257" s="117" t="e">
        <f>'пр.7 2024г'!#REF!</f>
        <v>#REF!</v>
      </c>
      <c r="H257" s="117" t="e">
        <f t="shared" si="27"/>
        <v>#REF!</v>
      </c>
    </row>
    <row r="258" spans="1:8" hidden="1">
      <c r="A258" s="106" t="s">
        <v>310</v>
      </c>
      <c r="B258" s="92" t="s">
        <v>545</v>
      </c>
      <c r="C258" s="592" t="s">
        <v>321</v>
      </c>
      <c r="D258" s="105" t="s">
        <v>140</v>
      </c>
      <c r="E258" s="104" t="s">
        <v>165</v>
      </c>
      <c r="F258" s="104" t="s">
        <v>155</v>
      </c>
      <c r="G258" s="117">
        <f>'пр.7 2024г'!G402</f>
        <v>0</v>
      </c>
      <c r="H258" s="117">
        <f t="shared" si="27"/>
        <v>0</v>
      </c>
    </row>
    <row r="259" spans="1:8" ht="89.25">
      <c r="A259" s="483" t="s">
        <v>417</v>
      </c>
      <c r="B259" s="92" t="s">
        <v>545</v>
      </c>
      <c r="C259" s="92"/>
      <c r="D259" s="105"/>
      <c r="E259" s="104"/>
      <c r="F259" s="104"/>
      <c r="G259" s="117">
        <f>G260</f>
        <v>343.685</v>
      </c>
      <c r="H259" s="117">
        <f>H260</f>
        <v>0</v>
      </c>
    </row>
    <row r="260" spans="1:8" ht="45.75" customHeight="1">
      <c r="A260" s="110" t="s">
        <v>209</v>
      </c>
      <c r="B260" s="92" t="s">
        <v>545</v>
      </c>
      <c r="C260" s="592" t="s">
        <v>312</v>
      </c>
      <c r="D260" s="105" t="s">
        <v>457</v>
      </c>
      <c r="E260" s="104" t="s">
        <v>161</v>
      </c>
      <c r="F260" s="104" t="s">
        <v>159</v>
      </c>
      <c r="G260" s="117">
        <f>'пр.7 2024г'!G703</f>
        <v>343.685</v>
      </c>
      <c r="H260" s="117">
        <v>0</v>
      </c>
    </row>
    <row r="261" spans="1:8" ht="45.75" hidden="1" customHeight="1">
      <c r="A261" s="106" t="s">
        <v>269</v>
      </c>
      <c r="B261" s="92" t="s">
        <v>545</v>
      </c>
      <c r="C261" s="100" t="s">
        <v>270</v>
      </c>
      <c r="D261" s="105" t="s">
        <v>140</v>
      </c>
      <c r="E261" s="104" t="s">
        <v>154</v>
      </c>
      <c r="F261" s="104" t="s">
        <v>152</v>
      </c>
      <c r="G261" s="117"/>
      <c r="H261" s="117"/>
    </row>
    <row r="262" spans="1:8" ht="51" hidden="1">
      <c r="A262" s="110" t="s">
        <v>983</v>
      </c>
      <c r="B262" s="92" t="s">
        <v>984</v>
      </c>
      <c r="C262" s="105"/>
      <c r="D262" s="105" t="s">
        <v>140</v>
      </c>
      <c r="E262" s="104" t="s">
        <v>165</v>
      </c>
      <c r="F262" s="104" t="s">
        <v>155</v>
      </c>
      <c r="G262" s="117">
        <f>G263</f>
        <v>0</v>
      </c>
      <c r="H262" s="117">
        <f>H263</f>
        <v>0</v>
      </c>
    </row>
    <row r="263" spans="1:8" ht="45.75" hidden="1" customHeight="1">
      <c r="A263" s="106" t="s">
        <v>310</v>
      </c>
      <c r="B263" s="92" t="s">
        <v>984</v>
      </c>
      <c r="C263" s="105" t="s">
        <v>321</v>
      </c>
      <c r="D263" s="105" t="s">
        <v>140</v>
      </c>
      <c r="E263" s="104" t="s">
        <v>165</v>
      </c>
      <c r="F263" s="104" t="s">
        <v>155</v>
      </c>
      <c r="G263" s="117">
        <f>'пр.7 2024г'!G404</f>
        <v>0</v>
      </c>
      <c r="H263" s="117">
        <f>G263</f>
        <v>0</v>
      </c>
    </row>
    <row r="264" spans="1:8" ht="63.75" hidden="1">
      <c r="A264" s="110" t="s">
        <v>985</v>
      </c>
      <c r="B264" s="92" t="s">
        <v>984</v>
      </c>
      <c r="C264" s="105"/>
      <c r="D264" s="105" t="s">
        <v>140</v>
      </c>
      <c r="E264" s="104" t="s">
        <v>165</v>
      </c>
      <c r="F264" s="104" t="s">
        <v>155</v>
      </c>
      <c r="G264" s="117">
        <f>G265</f>
        <v>0</v>
      </c>
      <c r="H264" s="117"/>
    </row>
    <row r="265" spans="1:8" ht="45.75" hidden="1" customHeight="1">
      <c r="A265" s="106" t="s">
        <v>310</v>
      </c>
      <c r="B265" s="92" t="s">
        <v>984</v>
      </c>
      <c r="C265" s="105" t="s">
        <v>321</v>
      </c>
      <c r="D265" s="105" t="s">
        <v>140</v>
      </c>
      <c r="E265" s="104" t="s">
        <v>165</v>
      </c>
      <c r="F265" s="104" t="s">
        <v>155</v>
      </c>
      <c r="G265" s="117">
        <f>'пр.7 2024г'!G406</f>
        <v>0</v>
      </c>
      <c r="H265" s="117"/>
    </row>
    <row r="266" spans="1:8" ht="63.75">
      <c r="A266" s="106" t="s">
        <v>538</v>
      </c>
      <c r="B266" s="92" t="s">
        <v>546</v>
      </c>
      <c r="C266" s="92"/>
      <c r="D266" s="105" t="s">
        <v>457</v>
      </c>
      <c r="E266" s="104" t="s">
        <v>162</v>
      </c>
      <c r="F266" s="104" t="s">
        <v>153</v>
      </c>
      <c r="G266" s="117">
        <f>G267+G268</f>
        <v>10515</v>
      </c>
      <c r="H266" s="117">
        <f>G266</f>
        <v>10515</v>
      </c>
    </row>
    <row r="267" spans="1:8" ht="38.25">
      <c r="A267" s="110" t="s">
        <v>209</v>
      </c>
      <c r="B267" s="92" t="s">
        <v>546</v>
      </c>
      <c r="C267" s="92" t="s">
        <v>312</v>
      </c>
      <c r="D267" s="105" t="s">
        <v>457</v>
      </c>
      <c r="E267" s="104" t="s">
        <v>162</v>
      </c>
      <c r="F267" s="104" t="s">
        <v>153</v>
      </c>
      <c r="G267" s="117">
        <f>'пр.7 2024г'!G720</f>
        <v>10515</v>
      </c>
      <c r="H267" s="117">
        <f>G267</f>
        <v>10515</v>
      </c>
    </row>
    <row r="268" spans="1:8" hidden="1">
      <c r="A268" s="106" t="s">
        <v>310</v>
      </c>
      <c r="B268" s="92" t="s">
        <v>546</v>
      </c>
      <c r="C268" s="92" t="s">
        <v>321</v>
      </c>
      <c r="D268" s="105" t="s">
        <v>140</v>
      </c>
      <c r="E268" s="104" t="s">
        <v>165</v>
      </c>
      <c r="F268" s="104" t="s">
        <v>155</v>
      </c>
      <c r="G268" s="117">
        <f>'пр.7 2024г'!G408</f>
        <v>0</v>
      </c>
      <c r="H268" s="117">
        <f>G268</f>
        <v>0</v>
      </c>
    </row>
    <row r="269" spans="1:8" ht="76.5">
      <c r="A269" s="110" t="s">
        <v>426</v>
      </c>
      <c r="B269" s="92" t="s">
        <v>546</v>
      </c>
      <c r="C269" s="92"/>
      <c r="D269" s="105" t="s">
        <v>457</v>
      </c>
      <c r="E269" s="104" t="s">
        <v>162</v>
      </c>
      <c r="F269" s="104" t="s">
        <v>153</v>
      </c>
      <c r="G269" s="117">
        <f>G270</f>
        <v>214.59183999999999</v>
      </c>
      <c r="H269" s="117">
        <f t="shared" ref="H269" si="28">H270</f>
        <v>0</v>
      </c>
    </row>
    <row r="270" spans="1:8" ht="38.25">
      <c r="A270" s="110" t="s">
        <v>209</v>
      </c>
      <c r="B270" s="92" t="s">
        <v>546</v>
      </c>
      <c r="C270" s="92" t="s">
        <v>312</v>
      </c>
      <c r="D270" s="105" t="s">
        <v>457</v>
      </c>
      <c r="E270" s="104" t="s">
        <v>162</v>
      </c>
      <c r="F270" s="104" t="s">
        <v>153</v>
      </c>
      <c r="G270" s="117">
        <f>'пр.7 2024г'!G722</f>
        <v>214.59183999999999</v>
      </c>
      <c r="H270" s="117">
        <v>0</v>
      </c>
    </row>
    <row r="271" spans="1:8" ht="38.25" hidden="1">
      <c r="A271" s="106" t="s">
        <v>557</v>
      </c>
      <c r="B271" s="100" t="s">
        <v>561</v>
      </c>
      <c r="C271" s="92"/>
      <c r="D271" s="105" t="s">
        <v>457</v>
      </c>
      <c r="E271" s="104" t="s">
        <v>154</v>
      </c>
      <c r="F271" s="104" t="s">
        <v>152</v>
      </c>
      <c r="G271" s="117">
        <f>G272</f>
        <v>0</v>
      </c>
      <c r="H271" s="117">
        <f>H272</f>
        <v>0</v>
      </c>
    </row>
    <row r="272" spans="1:8" hidden="1">
      <c r="A272" s="110" t="s">
        <v>560</v>
      </c>
      <c r="B272" s="100" t="s">
        <v>561</v>
      </c>
      <c r="C272" s="626">
        <v>414</v>
      </c>
      <c r="D272" s="105" t="s">
        <v>457</v>
      </c>
      <c r="E272" s="104" t="s">
        <v>154</v>
      </c>
      <c r="F272" s="104" t="s">
        <v>152</v>
      </c>
      <c r="G272" s="117">
        <f>'пр.7 2024г'!G754</f>
        <v>0</v>
      </c>
      <c r="H272" s="117">
        <f>G272</f>
        <v>0</v>
      </c>
    </row>
    <row r="273" spans="1:10" ht="51" hidden="1">
      <c r="A273" s="110" t="s">
        <v>888</v>
      </c>
      <c r="B273" s="100" t="s">
        <v>561</v>
      </c>
      <c r="C273" s="92"/>
      <c r="D273" s="424">
        <v>937</v>
      </c>
      <c r="E273" s="104" t="s">
        <v>154</v>
      </c>
      <c r="F273" s="104" t="s">
        <v>152</v>
      </c>
      <c r="G273" s="117">
        <f>G274</f>
        <v>0</v>
      </c>
      <c r="H273" s="117">
        <f>H274</f>
        <v>0</v>
      </c>
    </row>
    <row r="274" spans="1:10" hidden="1">
      <c r="A274" s="110" t="s">
        <v>560</v>
      </c>
      <c r="B274" s="100" t="s">
        <v>561</v>
      </c>
      <c r="C274" s="626">
        <v>414</v>
      </c>
      <c r="D274" s="424">
        <v>937</v>
      </c>
      <c r="E274" s="104" t="s">
        <v>154</v>
      </c>
      <c r="F274" s="104" t="s">
        <v>152</v>
      </c>
      <c r="G274" s="117">
        <f>'пр.7 2024г'!G756</f>
        <v>0</v>
      </c>
      <c r="H274" s="117"/>
    </row>
    <row r="275" spans="1:10" ht="38.25">
      <c r="A275" s="113" t="s">
        <v>947</v>
      </c>
      <c r="B275" s="103" t="s">
        <v>612</v>
      </c>
      <c r="C275" s="103"/>
      <c r="D275" s="103" t="s">
        <v>764</v>
      </c>
      <c r="E275" s="194"/>
      <c r="F275" s="194"/>
      <c r="G275" s="288">
        <f>G276+G279</f>
        <v>46716.856</v>
      </c>
      <c r="H275" s="288">
        <f>H276+H279</f>
        <v>100.2</v>
      </c>
    </row>
    <row r="276" spans="1:10" ht="25.5">
      <c r="A276" s="423" t="s">
        <v>638</v>
      </c>
      <c r="B276" s="425" t="s">
        <v>654</v>
      </c>
      <c r="C276" s="425"/>
      <c r="D276" s="92" t="s">
        <v>137</v>
      </c>
      <c r="E276" s="100" t="s">
        <v>152</v>
      </c>
      <c r="F276" s="100" t="s">
        <v>158</v>
      </c>
      <c r="G276" s="426">
        <f>G277+G278</f>
        <v>1329.856</v>
      </c>
      <c r="H276" s="426">
        <f t="shared" ref="H276" si="29">H277+H278</f>
        <v>0</v>
      </c>
    </row>
    <row r="277" spans="1:10" ht="25.5">
      <c r="A277" s="184" t="s">
        <v>317</v>
      </c>
      <c r="B277" s="100" t="s">
        <v>615</v>
      </c>
      <c r="C277" s="514" t="s">
        <v>318</v>
      </c>
      <c r="D277" s="92" t="s">
        <v>137</v>
      </c>
      <c r="E277" s="100" t="s">
        <v>152</v>
      </c>
      <c r="F277" s="100" t="s">
        <v>158</v>
      </c>
      <c r="G277" s="323">
        <f>'пр.7 2024г'!G70</f>
        <v>805.36500000000001</v>
      </c>
      <c r="H277" s="323">
        <v>0</v>
      </c>
    </row>
    <row r="278" spans="1:10" ht="38.25">
      <c r="A278" s="110" t="s">
        <v>209</v>
      </c>
      <c r="B278" s="100" t="s">
        <v>615</v>
      </c>
      <c r="C278" s="282">
        <v>244</v>
      </c>
      <c r="D278" s="92" t="s">
        <v>137</v>
      </c>
      <c r="E278" s="100" t="s">
        <v>152</v>
      </c>
      <c r="F278" s="100" t="s">
        <v>158</v>
      </c>
      <c r="G278" s="281">
        <f>'пр.7 2024г'!G71</f>
        <v>524.49099999999999</v>
      </c>
      <c r="H278" s="281">
        <v>0</v>
      </c>
    </row>
    <row r="279" spans="1:10" ht="25.5">
      <c r="A279" s="423" t="s">
        <v>639</v>
      </c>
      <c r="B279" s="514" t="s">
        <v>618</v>
      </c>
      <c r="C279" s="282"/>
      <c r="D279" s="92" t="s">
        <v>764</v>
      </c>
      <c r="E279" s="100" t="s">
        <v>165</v>
      </c>
      <c r="F279" s="100" t="s">
        <v>376</v>
      </c>
      <c r="G279" s="281">
        <f>G281+G282</f>
        <v>45387</v>
      </c>
      <c r="H279" s="281">
        <f>H280</f>
        <v>100.2</v>
      </c>
    </row>
    <row r="280" spans="1:10" ht="25.5">
      <c r="A280" s="107" t="s">
        <v>309</v>
      </c>
      <c r="B280" s="514" t="s">
        <v>617</v>
      </c>
      <c r="C280" s="100"/>
      <c r="D280" s="100" t="s">
        <v>137</v>
      </c>
      <c r="E280" s="100" t="s">
        <v>165</v>
      </c>
      <c r="F280" s="100" t="s">
        <v>152</v>
      </c>
      <c r="G280" s="116">
        <f>G281</f>
        <v>100.2</v>
      </c>
      <c r="H280" s="116">
        <f>H281</f>
        <v>100.2</v>
      </c>
    </row>
    <row r="281" spans="1:10" s="41" customFormat="1">
      <c r="A281" s="106" t="s">
        <v>201</v>
      </c>
      <c r="B281" s="514" t="s">
        <v>617</v>
      </c>
      <c r="C281" s="105" t="s">
        <v>24</v>
      </c>
      <c r="D281" s="105" t="s">
        <v>137</v>
      </c>
      <c r="E281" s="105" t="s">
        <v>165</v>
      </c>
      <c r="F281" s="105" t="s">
        <v>152</v>
      </c>
      <c r="G281" s="117">
        <f>'пр.7 2024г'!G80</f>
        <v>100.2</v>
      </c>
      <c r="H281" s="117">
        <f>G281</f>
        <v>100.2</v>
      </c>
    </row>
    <row r="282" spans="1:10" ht="38.25">
      <c r="A282" s="423" t="s">
        <v>613</v>
      </c>
      <c r="B282" s="514" t="s">
        <v>616</v>
      </c>
      <c r="C282" s="105"/>
      <c r="D282" s="105" t="s">
        <v>764</v>
      </c>
      <c r="E282" s="105" t="s">
        <v>165</v>
      </c>
      <c r="F282" s="105" t="s">
        <v>155</v>
      </c>
      <c r="G282" s="117">
        <f>G283</f>
        <v>45286.8</v>
      </c>
      <c r="H282" s="326">
        <v>0</v>
      </c>
    </row>
    <row r="283" spans="1:10">
      <c r="A283" s="106" t="s">
        <v>310</v>
      </c>
      <c r="B283" s="514" t="s">
        <v>616</v>
      </c>
      <c r="C283" s="105" t="s">
        <v>321</v>
      </c>
      <c r="D283" s="105" t="s">
        <v>764</v>
      </c>
      <c r="E283" s="105" t="s">
        <v>165</v>
      </c>
      <c r="F283" s="105" t="s">
        <v>155</v>
      </c>
      <c r="G283" s="117">
        <f>'пр.7 2024г'!G85+'пр.7 2024г'!G416</f>
        <v>45286.8</v>
      </c>
      <c r="H283" s="326">
        <v>0</v>
      </c>
    </row>
    <row r="284" spans="1:10" ht="38.25">
      <c r="A284" s="382" t="s">
        <v>948</v>
      </c>
      <c r="B284" s="194" t="s">
        <v>574</v>
      </c>
      <c r="C284" s="194"/>
      <c r="D284" s="194" t="s">
        <v>82</v>
      </c>
      <c r="E284" s="194"/>
      <c r="F284" s="194"/>
      <c r="G284" s="288">
        <f>G285+G301+G349+G367+G404+G408+G385+G392</f>
        <v>884439.80247000011</v>
      </c>
      <c r="H284" s="288">
        <f>H285+H301+H349+H367+H385+H392+H404+H408</f>
        <v>695958.57000000007</v>
      </c>
      <c r="I284" s="568"/>
      <c r="J284" s="484"/>
    </row>
    <row r="285" spans="1:10" ht="25.5">
      <c r="A285" s="285" t="s">
        <v>354</v>
      </c>
      <c r="B285" s="525" t="s">
        <v>575</v>
      </c>
      <c r="C285" s="283"/>
      <c r="D285" s="283" t="s">
        <v>82</v>
      </c>
      <c r="E285" s="283" t="s">
        <v>677</v>
      </c>
      <c r="F285" s="283" t="s">
        <v>678</v>
      </c>
      <c r="G285" s="284">
        <f>G286</f>
        <v>152971.11828999998</v>
      </c>
      <c r="H285" s="284">
        <f t="shared" ref="H285" si="30">H286</f>
        <v>90709.319289999999</v>
      </c>
      <c r="I285" s="484"/>
    </row>
    <row r="286" spans="1:10" ht="51">
      <c r="A286" s="527" t="s">
        <v>576</v>
      </c>
      <c r="B286" s="526" t="s">
        <v>577</v>
      </c>
      <c r="C286" s="283"/>
      <c r="D286" s="283" t="s">
        <v>82</v>
      </c>
      <c r="E286" s="283" t="s">
        <v>677</v>
      </c>
      <c r="F286" s="283" t="s">
        <v>678</v>
      </c>
      <c r="G286" s="284">
        <f>G287+G290+G293+G296+G299</f>
        <v>152971.11828999998</v>
      </c>
      <c r="H286" s="284">
        <f>H287+H290+H293+H296+H299</f>
        <v>90709.319289999999</v>
      </c>
    </row>
    <row r="287" spans="1:10" ht="25.5">
      <c r="A287" s="108" t="s">
        <v>299</v>
      </c>
      <c r="B287" s="100" t="s">
        <v>578</v>
      </c>
      <c r="C287" s="100"/>
      <c r="D287" s="100" t="s">
        <v>82</v>
      </c>
      <c r="E287" s="100" t="s">
        <v>154</v>
      </c>
      <c r="F287" s="100" t="s">
        <v>152</v>
      </c>
      <c r="G287" s="116">
        <f>G288+G289</f>
        <v>62261.798999999999</v>
      </c>
      <c r="H287" s="116">
        <f t="shared" ref="H287" si="31">H288+H289</f>
        <v>0</v>
      </c>
    </row>
    <row r="288" spans="1:10">
      <c r="A288" s="106" t="s">
        <v>203</v>
      </c>
      <c r="B288" s="100" t="s">
        <v>578</v>
      </c>
      <c r="C288" s="100" t="s">
        <v>319</v>
      </c>
      <c r="D288" s="100" t="s">
        <v>82</v>
      </c>
      <c r="E288" s="100" t="s">
        <v>154</v>
      </c>
      <c r="F288" s="100" t="s">
        <v>152</v>
      </c>
      <c r="G288" s="116">
        <f>'пр.7 2024г'!G448</f>
        <v>45614.366000000002</v>
      </c>
      <c r="H288" s="116">
        <v>0</v>
      </c>
    </row>
    <row r="289" spans="1:9">
      <c r="A289" s="106" t="s">
        <v>267</v>
      </c>
      <c r="B289" s="100" t="s">
        <v>578</v>
      </c>
      <c r="C289" s="100" t="s">
        <v>320</v>
      </c>
      <c r="D289" s="100" t="s">
        <v>82</v>
      </c>
      <c r="E289" s="100" t="s">
        <v>154</v>
      </c>
      <c r="F289" s="100" t="s">
        <v>152</v>
      </c>
      <c r="G289" s="116">
        <f>'пр.7 2024г'!G449</f>
        <v>16647.433000000001</v>
      </c>
      <c r="H289" s="116">
        <v>0</v>
      </c>
    </row>
    <row r="290" spans="1:9" ht="25.5">
      <c r="A290" s="108" t="s">
        <v>275</v>
      </c>
      <c r="B290" s="101" t="s">
        <v>579</v>
      </c>
      <c r="C290" s="280"/>
      <c r="D290" s="100" t="s">
        <v>82</v>
      </c>
      <c r="E290" s="100" t="s">
        <v>154</v>
      </c>
      <c r="F290" s="100" t="s">
        <v>152</v>
      </c>
      <c r="G290" s="116">
        <f>G291+G292</f>
        <v>82345.899999999994</v>
      </c>
      <c r="H290" s="116">
        <f t="shared" ref="H290" si="32">H291+H292</f>
        <v>82345.899999999994</v>
      </c>
      <c r="I290" s="181"/>
    </row>
    <row r="291" spans="1:9">
      <c r="A291" s="107" t="s">
        <v>205</v>
      </c>
      <c r="B291" s="101" t="s">
        <v>579</v>
      </c>
      <c r="C291" s="100" t="s">
        <v>202</v>
      </c>
      <c r="D291" s="100" t="s">
        <v>82</v>
      </c>
      <c r="E291" s="100" t="s">
        <v>154</v>
      </c>
      <c r="F291" s="100" t="s">
        <v>152</v>
      </c>
      <c r="G291" s="116">
        <f>'пр.7 2024г'!G451</f>
        <v>51386.2</v>
      </c>
      <c r="H291" s="116">
        <f>G291</f>
        <v>51386.2</v>
      </c>
      <c r="I291" s="121"/>
    </row>
    <row r="292" spans="1:9">
      <c r="A292" s="107" t="s">
        <v>269</v>
      </c>
      <c r="B292" s="101" t="s">
        <v>579</v>
      </c>
      <c r="C292" s="100" t="s">
        <v>270</v>
      </c>
      <c r="D292" s="100" t="s">
        <v>82</v>
      </c>
      <c r="E292" s="100" t="s">
        <v>154</v>
      </c>
      <c r="F292" s="100" t="s">
        <v>152</v>
      </c>
      <c r="G292" s="116">
        <f>'пр.7 2024г'!G452</f>
        <v>30959.7</v>
      </c>
      <c r="H292" s="116">
        <f>G292</f>
        <v>30959.7</v>
      </c>
      <c r="I292" s="121"/>
    </row>
    <row r="293" spans="1:9" ht="76.5" hidden="1">
      <c r="A293" s="483" t="s">
        <v>570</v>
      </c>
      <c r="B293" s="100" t="s">
        <v>717</v>
      </c>
      <c r="C293" s="280"/>
      <c r="D293" s="100" t="s">
        <v>82</v>
      </c>
      <c r="E293" s="100" t="s">
        <v>154</v>
      </c>
      <c r="F293" s="100" t="s">
        <v>152</v>
      </c>
      <c r="G293" s="116">
        <f>G294+G295</f>
        <v>6611.4192899999998</v>
      </c>
      <c r="H293" s="116">
        <f t="shared" ref="H293" si="33">H294+H295</f>
        <v>6611.4192899999998</v>
      </c>
      <c r="I293" s="121"/>
    </row>
    <row r="294" spans="1:9" hidden="1">
      <c r="A294" s="107" t="s">
        <v>205</v>
      </c>
      <c r="B294" s="100" t="s">
        <v>717</v>
      </c>
      <c r="C294" s="100" t="s">
        <v>202</v>
      </c>
      <c r="D294" s="100" t="s">
        <v>82</v>
      </c>
      <c r="E294" s="100" t="s">
        <v>154</v>
      </c>
      <c r="F294" s="100" t="s">
        <v>152</v>
      </c>
      <c r="G294" s="116">
        <f>'пр.7 2024г'!G454</f>
        <v>4544.7</v>
      </c>
      <c r="H294" s="116">
        <f>G294</f>
        <v>4544.7</v>
      </c>
      <c r="I294" s="121"/>
    </row>
    <row r="295" spans="1:9" hidden="1">
      <c r="A295" s="107" t="s">
        <v>269</v>
      </c>
      <c r="B295" s="100" t="s">
        <v>717</v>
      </c>
      <c r="C295" s="100" t="s">
        <v>270</v>
      </c>
      <c r="D295" s="100" t="s">
        <v>82</v>
      </c>
      <c r="E295" s="100" t="s">
        <v>154</v>
      </c>
      <c r="F295" s="100" t="s">
        <v>152</v>
      </c>
      <c r="G295" s="116">
        <f>'пр.7 2024г'!G455</f>
        <v>2066.71929</v>
      </c>
      <c r="H295" s="116">
        <f>G295</f>
        <v>2066.71929</v>
      </c>
      <c r="I295" s="121"/>
    </row>
    <row r="296" spans="1:9" ht="51">
      <c r="A296" s="106" t="s">
        <v>961</v>
      </c>
      <c r="B296" s="100" t="s">
        <v>962</v>
      </c>
      <c r="C296" s="92"/>
      <c r="D296" s="100" t="s">
        <v>82</v>
      </c>
      <c r="E296" s="100" t="s">
        <v>154</v>
      </c>
      <c r="F296" s="100" t="s">
        <v>152</v>
      </c>
      <c r="G296" s="116">
        <f>G297+G298</f>
        <v>352</v>
      </c>
      <c r="H296" s="116">
        <f>H297+H298</f>
        <v>352</v>
      </c>
      <c r="I296" s="121"/>
    </row>
    <row r="297" spans="1:9">
      <c r="A297" s="106" t="s">
        <v>205</v>
      </c>
      <c r="B297" s="100" t="s">
        <v>962</v>
      </c>
      <c r="C297" s="92" t="s">
        <v>202</v>
      </c>
      <c r="D297" s="100" t="s">
        <v>82</v>
      </c>
      <c r="E297" s="100" t="s">
        <v>154</v>
      </c>
      <c r="F297" s="100" t="s">
        <v>152</v>
      </c>
      <c r="G297" s="116">
        <f>'пр.7 2024г'!G457</f>
        <v>140.6</v>
      </c>
      <c r="H297" s="116">
        <f>G297</f>
        <v>140.6</v>
      </c>
      <c r="I297" s="121"/>
    </row>
    <row r="298" spans="1:9">
      <c r="A298" s="107" t="s">
        <v>269</v>
      </c>
      <c r="B298" s="100" t="s">
        <v>962</v>
      </c>
      <c r="C298" s="92"/>
      <c r="D298" s="100" t="s">
        <v>82</v>
      </c>
      <c r="E298" s="100" t="s">
        <v>154</v>
      </c>
      <c r="F298" s="100" t="s">
        <v>152</v>
      </c>
      <c r="G298" s="116">
        <f>'пр.7 2024г'!G458</f>
        <v>211.4</v>
      </c>
      <c r="H298" s="116">
        <f>G298</f>
        <v>211.4</v>
      </c>
      <c r="I298" s="121"/>
    </row>
    <row r="299" spans="1:9" ht="229.5">
      <c r="A299" s="21" t="s">
        <v>525</v>
      </c>
      <c r="B299" s="100" t="s">
        <v>655</v>
      </c>
      <c r="C299" s="100"/>
      <c r="D299" s="100" t="s">
        <v>82</v>
      </c>
      <c r="E299" s="100" t="s">
        <v>157</v>
      </c>
      <c r="F299" s="100" t="s">
        <v>155</v>
      </c>
      <c r="G299" s="116">
        <f>G300</f>
        <v>1400</v>
      </c>
      <c r="H299" s="116">
        <f>H300</f>
        <v>1400</v>
      </c>
      <c r="I299" s="121"/>
    </row>
    <row r="300" spans="1:9">
      <c r="A300" s="107" t="s">
        <v>205</v>
      </c>
      <c r="B300" s="100" t="s">
        <v>655</v>
      </c>
      <c r="C300" s="100" t="s">
        <v>202</v>
      </c>
      <c r="D300" s="100" t="s">
        <v>82</v>
      </c>
      <c r="E300" s="100" t="s">
        <v>157</v>
      </c>
      <c r="F300" s="100" t="s">
        <v>155</v>
      </c>
      <c r="G300" s="116">
        <f>'пр.7 2024г'!G674</f>
        <v>1400</v>
      </c>
      <c r="H300" s="116">
        <f>G300</f>
        <v>1400</v>
      </c>
      <c r="I300" s="121"/>
    </row>
    <row r="301" spans="1:9" ht="25.5">
      <c r="A301" s="285" t="s">
        <v>351</v>
      </c>
      <c r="B301" s="528" t="s">
        <v>658</v>
      </c>
      <c r="C301" s="286"/>
      <c r="D301" s="283" t="s">
        <v>82</v>
      </c>
      <c r="E301" s="283" t="s">
        <v>154</v>
      </c>
      <c r="F301" s="283" t="s">
        <v>153</v>
      </c>
      <c r="G301" s="284">
        <f>G302</f>
        <v>644997.81806000008</v>
      </c>
      <c r="H301" s="284">
        <f t="shared" ref="H301" si="34">H302</f>
        <v>553315.38436999999</v>
      </c>
      <c r="I301" s="181" t="e">
        <f>G301-#REF!</f>
        <v>#REF!</v>
      </c>
    </row>
    <row r="302" spans="1:9" ht="51">
      <c r="A302" s="285" t="s">
        <v>580</v>
      </c>
      <c r="B302" s="528" t="s">
        <v>657</v>
      </c>
      <c r="C302" s="286"/>
      <c r="D302" s="283"/>
      <c r="E302" s="283"/>
      <c r="F302" s="283"/>
      <c r="G302" s="284">
        <f>G303+G305+G307+G309+G311+G313+G319+G321+G325+G327+G329+G331+G337+G339+G341+G347+G343+G345+G333+G335</f>
        <v>644997.81806000008</v>
      </c>
      <c r="H302" s="284">
        <f>H303+H305+H307+H309+H311+H313+H319+H321+H325+H327+H329+H331+H337+H339+H341+H347+H343+H333</f>
        <v>553315.38436999999</v>
      </c>
      <c r="I302" s="121"/>
    </row>
    <row r="303" spans="1:9" ht="25.5">
      <c r="A303" s="40" t="s">
        <v>299</v>
      </c>
      <c r="B303" s="100" t="s">
        <v>656</v>
      </c>
      <c r="C303" s="100"/>
      <c r="D303" s="100" t="s">
        <v>82</v>
      </c>
      <c r="E303" s="100" t="s">
        <v>154</v>
      </c>
      <c r="F303" s="100" t="s">
        <v>153</v>
      </c>
      <c r="G303" s="116">
        <f>G304</f>
        <v>75438.904789999986</v>
      </c>
      <c r="H303" s="116">
        <v>0</v>
      </c>
      <c r="I303" s="121"/>
    </row>
    <row r="304" spans="1:9">
      <c r="A304" s="106" t="s">
        <v>203</v>
      </c>
      <c r="B304" s="100" t="s">
        <v>656</v>
      </c>
      <c r="C304" s="100" t="s">
        <v>319</v>
      </c>
      <c r="D304" s="100" t="s">
        <v>82</v>
      </c>
      <c r="E304" s="100" t="s">
        <v>154</v>
      </c>
      <c r="F304" s="100" t="s">
        <v>153</v>
      </c>
      <c r="G304" s="116">
        <f>'пр.7 2024г'!G482</f>
        <v>75438.904789999986</v>
      </c>
      <c r="H304" s="116">
        <v>0</v>
      </c>
      <c r="I304" s="121"/>
    </row>
    <row r="305" spans="1:8" ht="51">
      <c r="A305" s="108" t="s">
        <v>266</v>
      </c>
      <c r="B305" s="100" t="s">
        <v>659</v>
      </c>
      <c r="C305" s="100"/>
      <c r="D305" s="100" t="s">
        <v>82</v>
      </c>
      <c r="E305" s="100" t="s">
        <v>154</v>
      </c>
      <c r="F305" s="100" t="s">
        <v>153</v>
      </c>
      <c r="G305" s="116">
        <f>G306</f>
        <v>292514.5</v>
      </c>
      <c r="H305" s="116">
        <f>H306</f>
        <v>292514.5</v>
      </c>
    </row>
    <row r="306" spans="1:8">
      <c r="A306" s="107" t="s">
        <v>205</v>
      </c>
      <c r="B306" s="100" t="s">
        <v>659</v>
      </c>
      <c r="C306" s="100" t="s">
        <v>202</v>
      </c>
      <c r="D306" s="100" t="s">
        <v>82</v>
      </c>
      <c r="E306" s="100" t="s">
        <v>154</v>
      </c>
      <c r="F306" s="100" t="s">
        <v>153</v>
      </c>
      <c r="G306" s="116">
        <f>'пр.7 2024г'!G490</f>
        <v>292514.5</v>
      </c>
      <c r="H306" s="116">
        <f>G306</f>
        <v>292514.5</v>
      </c>
    </row>
    <row r="307" spans="1:8" ht="25.5">
      <c r="A307" s="40" t="s">
        <v>275</v>
      </c>
      <c r="B307" s="92" t="s">
        <v>660</v>
      </c>
      <c r="C307" s="100"/>
      <c r="D307" s="100" t="s">
        <v>82</v>
      </c>
      <c r="E307" s="100" t="s">
        <v>154</v>
      </c>
      <c r="F307" s="100" t="s">
        <v>153</v>
      </c>
      <c r="G307" s="116">
        <f>G308</f>
        <v>7511.1</v>
      </c>
      <c r="H307" s="116">
        <f>H308</f>
        <v>7511.1</v>
      </c>
    </row>
    <row r="308" spans="1:8">
      <c r="A308" s="107" t="s">
        <v>205</v>
      </c>
      <c r="B308" s="92" t="s">
        <v>660</v>
      </c>
      <c r="C308" s="100" t="s">
        <v>202</v>
      </c>
      <c r="D308" s="100" t="s">
        <v>82</v>
      </c>
      <c r="E308" s="100" t="s">
        <v>154</v>
      </c>
      <c r="F308" s="100" t="s">
        <v>153</v>
      </c>
      <c r="G308" s="116">
        <f>'пр.7 2024г'!G488</f>
        <v>7511.1</v>
      </c>
      <c r="H308" s="116">
        <f>G308</f>
        <v>7511.1</v>
      </c>
    </row>
    <row r="309" spans="1:8" ht="25.5">
      <c r="A309" s="108" t="s">
        <v>179</v>
      </c>
      <c r="B309" s="100" t="s">
        <v>661</v>
      </c>
      <c r="C309" s="100"/>
      <c r="D309" s="100" t="s">
        <v>82</v>
      </c>
      <c r="E309" s="100" t="s">
        <v>154</v>
      </c>
      <c r="F309" s="100" t="s">
        <v>153</v>
      </c>
      <c r="G309" s="116">
        <f>G310</f>
        <v>5806.1</v>
      </c>
      <c r="H309" s="116">
        <f>H310</f>
        <v>5806.1</v>
      </c>
    </row>
    <row r="310" spans="1:8">
      <c r="A310" s="107" t="s">
        <v>205</v>
      </c>
      <c r="B310" s="100" t="s">
        <v>661</v>
      </c>
      <c r="C310" s="100" t="s">
        <v>202</v>
      </c>
      <c r="D310" s="100" t="s">
        <v>82</v>
      </c>
      <c r="E310" s="100" t="s">
        <v>154</v>
      </c>
      <c r="F310" s="100" t="s">
        <v>153</v>
      </c>
      <c r="G310" s="116">
        <f>'пр.7 2024г'!G492</f>
        <v>5806.1</v>
      </c>
      <c r="H310" s="116">
        <f>G310</f>
        <v>5806.1</v>
      </c>
    </row>
    <row r="311" spans="1:8" ht="76.5" hidden="1">
      <c r="A311" s="483" t="s">
        <v>570</v>
      </c>
      <c r="B311" s="100" t="s">
        <v>703</v>
      </c>
      <c r="C311" s="100"/>
      <c r="D311" s="100" t="s">
        <v>82</v>
      </c>
      <c r="E311" s="100" t="s">
        <v>154</v>
      </c>
      <c r="F311" s="100" t="s">
        <v>153</v>
      </c>
      <c r="G311" s="116">
        <f>G312</f>
        <v>46517.084369999997</v>
      </c>
      <c r="H311" s="116">
        <f>H312</f>
        <v>46517.084369999997</v>
      </c>
    </row>
    <row r="312" spans="1:8" hidden="1">
      <c r="A312" s="106" t="s">
        <v>205</v>
      </c>
      <c r="B312" s="100" t="s">
        <v>703</v>
      </c>
      <c r="C312" s="100" t="s">
        <v>202</v>
      </c>
      <c r="D312" s="100" t="s">
        <v>82</v>
      </c>
      <c r="E312" s="100" t="s">
        <v>154</v>
      </c>
      <c r="F312" s="100" t="s">
        <v>153</v>
      </c>
      <c r="G312" s="116">
        <f>'пр.7 2024г'!G484</f>
        <v>46517.084369999997</v>
      </c>
      <c r="H312" s="116">
        <f>G312</f>
        <v>46517.084369999997</v>
      </c>
    </row>
    <row r="313" spans="1:8" ht="89.25" hidden="1">
      <c r="A313" s="483" t="s">
        <v>571</v>
      </c>
      <c r="B313" s="100" t="s">
        <v>703</v>
      </c>
      <c r="C313" s="100"/>
      <c r="D313" s="100" t="s">
        <v>82</v>
      </c>
      <c r="E313" s="100" t="s">
        <v>154</v>
      </c>
      <c r="F313" s="100" t="s">
        <v>153</v>
      </c>
      <c r="G313" s="116">
        <f>G314</f>
        <v>949.3280000000002</v>
      </c>
      <c r="H313" s="116">
        <v>0</v>
      </c>
    </row>
    <row r="314" spans="1:8" hidden="1">
      <c r="A314" s="106" t="s">
        <v>205</v>
      </c>
      <c r="B314" s="100" t="s">
        <v>703</v>
      </c>
      <c r="C314" s="100" t="s">
        <v>202</v>
      </c>
      <c r="D314" s="100" t="s">
        <v>82</v>
      </c>
      <c r="E314" s="100" t="s">
        <v>154</v>
      </c>
      <c r="F314" s="100" t="s">
        <v>153</v>
      </c>
      <c r="G314" s="116">
        <f>'пр.7 2024г'!G486</f>
        <v>949.3280000000002</v>
      </c>
      <c r="H314" s="116">
        <v>0</v>
      </c>
    </row>
    <row r="315" spans="1:8" ht="51" hidden="1">
      <c r="A315" s="107" t="s">
        <v>497</v>
      </c>
      <c r="B315" s="92" t="s">
        <v>662</v>
      </c>
      <c r="C315" s="100"/>
      <c r="D315" s="100" t="s">
        <v>82</v>
      </c>
      <c r="E315" s="100" t="s">
        <v>154</v>
      </c>
      <c r="F315" s="100" t="s">
        <v>153</v>
      </c>
      <c r="G315" s="116">
        <f>G316</f>
        <v>0</v>
      </c>
      <c r="H315" s="116">
        <v>0</v>
      </c>
    </row>
    <row r="316" spans="1:8" hidden="1">
      <c r="A316" s="107" t="s">
        <v>205</v>
      </c>
      <c r="B316" s="92" t="s">
        <v>662</v>
      </c>
      <c r="C316" s="100" t="s">
        <v>202</v>
      </c>
      <c r="D316" s="100" t="s">
        <v>82</v>
      </c>
      <c r="E316" s="100" t="s">
        <v>154</v>
      </c>
      <c r="F316" s="100" t="s">
        <v>153</v>
      </c>
      <c r="G316" s="116"/>
      <c r="H316" s="116">
        <v>0</v>
      </c>
    </row>
    <row r="317" spans="1:8" ht="63.75" hidden="1">
      <c r="A317" s="107" t="s">
        <v>498</v>
      </c>
      <c r="B317" s="92" t="s">
        <v>662</v>
      </c>
      <c r="C317" s="100"/>
      <c r="D317" s="100" t="s">
        <v>82</v>
      </c>
      <c r="E317" s="100" t="s">
        <v>154</v>
      </c>
      <c r="F317" s="100" t="s">
        <v>153</v>
      </c>
      <c r="G317" s="116">
        <f>G318</f>
        <v>0</v>
      </c>
      <c r="H317" s="116">
        <f>H318</f>
        <v>0</v>
      </c>
    </row>
    <row r="318" spans="1:8" hidden="1">
      <c r="A318" s="107" t="s">
        <v>205</v>
      </c>
      <c r="B318" s="92" t="s">
        <v>662</v>
      </c>
      <c r="C318" s="100" t="s">
        <v>202</v>
      </c>
      <c r="D318" s="100" t="s">
        <v>82</v>
      </c>
      <c r="E318" s="100" t="s">
        <v>154</v>
      </c>
      <c r="F318" s="100" t="s">
        <v>153</v>
      </c>
      <c r="G318" s="116">
        <v>0</v>
      </c>
      <c r="H318" s="116">
        <v>0</v>
      </c>
    </row>
    <row r="319" spans="1:8" ht="51">
      <c r="A319" s="106" t="s">
        <v>522</v>
      </c>
      <c r="B319" s="92" t="s">
        <v>663</v>
      </c>
      <c r="C319" s="100"/>
      <c r="D319" s="100" t="s">
        <v>82</v>
      </c>
      <c r="E319" s="100" t="s">
        <v>154</v>
      </c>
      <c r="F319" s="100" t="s">
        <v>153</v>
      </c>
      <c r="G319" s="116">
        <f>G320</f>
        <v>122321.3</v>
      </c>
      <c r="H319" s="116">
        <f>H320</f>
        <v>122321.3</v>
      </c>
    </row>
    <row r="320" spans="1:8">
      <c r="A320" s="107" t="s">
        <v>205</v>
      </c>
      <c r="B320" s="92" t="s">
        <v>663</v>
      </c>
      <c r="C320" s="100" t="s">
        <v>202</v>
      </c>
      <c r="D320" s="100" t="s">
        <v>82</v>
      </c>
      <c r="E320" s="100" t="s">
        <v>154</v>
      </c>
      <c r="F320" s="100" t="s">
        <v>153</v>
      </c>
      <c r="G320" s="116">
        <f>'пр.7 2024г'!G502</f>
        <v>122321.3</v>
      </c>
      <c r="H320" s="116">
        <f>G320</f>
        <v>122321.3</v>
      </c>
    </row>
    <row r="321" spans="1:8" ht="63.75">
      <c r="A321" s="106" t="s">
        <v>527</v>
      </c>
      <c r="B321" s="92" t="s">
        <v>663</v>
      </c>
      <c r="C321" s="100"/>
      <c r="D321" s="100" t="s">
        <v>82</v>
      </c>
      <c r="E321" s="100" t="s">
        <v>154</v>
      </c>
      <c r="F321" s="100" t="s">
        <v>153</v>
      </c>
      <c r="G321" s="116">
        <f>G322</f>
        <v>2496.3530000000001</v>
      </c>
      <c r="H321" s="116">
        <v>0</v>
      </c>
    </row>
    <row r="322" spans="1:8">
      <c r="A322" s="107" t="s">
        <v>205</v>
      </c>
      <c r="B322" s="92" t="s">
        <v>663</v>
      </c>
      <c r="C322" s="100" t="s">
        <v>202</v>
      </c>
      <c r="D322" s="100" t="s">
        <v>82</v>
      </c>
      <c r="E322" s="100" t="s">
        <v>154</v>
      </c>
      <c r="F322" s="100" t="s">
        <v>153</v>
      </c>
      <c r="G322" s="116">
        <f>'пр.7 2024г'!G504</f>
        <v>2496.3530000000001</v>
      </c>
      <c r="H322" s="116">
        <v>0</v>
      </c>
    </row>
    <row r="323" spans="1:8" ht="51" hidden="1">
      <c r="A323" s="106" t="s">
        <v>551</v>
      </c>
      <c r="B323" s="92" t="s">
        <v>743</v>
      </c>
      <c r="C323" s="280"/>
      <c r="D323" s="100" t="s">
        <v>82</v>
      </c>
      <c r="E323" s="100" t="s">
        <v>154</v>
      </c>
      <c r="F323" s="100" t="s">
        <v>153</v>
      </c>
      <c r="G323" s="116">
        <f>G324</f>
        <v>0</v>
      </c>
      <c r="H323" s="116">
        <v>0</v>
      </c>
    </row>
    <row r="324" spans="1:8" hidden="1">
      <c r="A324" s="107" t="s">
        <v>205</v>
      </c>
      <c r="B324" s="92" t="s">
        <v>743</v>
      </c>
      <c r="C324" s="100" t="s">
        <v>202</v>
      </c>
      <c r="D324" s="100" t="s">
        <v>82</v>
      </c>
      <c r="E324" s="100" t="s">
        <v>154</v>
      </c>
      <c r="F324" s="100" t="s">
        <v>153</v>
      </c>
      <c r="G324" s="116">
        <f>'пр.7 2024г'!G494</f>
        <v>0</v>
      </c>
      <c r="H324" s="116">
        <v>0</v>
      </c>
    </row>
    <row r="325" spans="1:8" ht="63.75">
      <c r="A325" s="106" t="s">
        <v>552</v>
      </c>
      <c r="B325" s="100" t="s">
        <v>664</v>
      </c>
      <c r="C325" s="280"/>
      <c r="D325" s="100" t="s">
        <v>82</v>
      </c>
      <c r="E325" s="100" t="s">
        <v>154</v>
      </c>
      <c r="F325" s="100" t="s">
        <v>153</v>
      </c>
      <c r="G325" s="116">
        <f>G326</f>
        <v>12483.4</v>
      </c>
      <c r="H325" s="116">
        <f>H326</f>
        <v>12483.4</v>
      </c>
    </row>
    <row r="326" spans="1:8">
      <c r="A326" s="107" t="s">
        <v>205</v>
      </c>
      <c r="B326" s="100" t="s">
        <v>664</v>
      </c>
      <c r="C326" s="100" t="s">
        <v>202</v>
      </c>
      <c r="D326" s="100" t="s">
        <v>82</v>
      </c>
      <c r="E326" s="100" t="s">
        <v>154</v>
      </c>
      <c r="F326" s="100" t="s">
        <v>153</v>
      </c>
      <c r="G326" s="116">
        <f>'пр.7 2024г'!G498</f>
        <v>12483.4</v>
      </c>
      <c r="H326" s="116">
        <f>G326</f>
        <v>12483.4</v>
      </c>
    </row>
    <row r="327" spans="1:8" ht="63.75">
      <c r="A327" s="106" t="s">
        <v>553</v>
      </c>
      <c r="B327" s="100" t="s">
        <v>664</v>
      </c>
      <c r="C327" s="280"/>
      <c r="D327" s="100" t="s">
        <v>82</v>
      </c>
      <c r="E327" s="100" t="s">
        <v>154</v>
      </c>
      <c r="F327" s="100" t="s">
        <v>153</v>
      </c>
      <c r="G327" s="116">
        <f>G328</f>
        <v>12483.4</v>
      </c>
      <c r="H327" s="116">
        <v>0</v>
      </c>
    </row>
    <row r="328" spans="1:8">
      <c r="A328" s="107" t="s">
        <v>205</v>
      </c>
      <c r="B328" s="100" t="s">
        <v>664</v>
      </c>
      <c r="C328" s="100" t="s">
        <v>202</v>
      </c>
      <c r="D328" s="100" t="s">
        <v>82</v>
      </c>
      <c r="E328" s="100" t="s">
        <v>154</v>
      </c>
      <c r="F328" s="100" t="s">
        <v>153</v>
      </c>
      <c r="G328" s="116">
        <f>'пр.7 2024г'!G500</f>
        <v>12483.4</v>
      </c>
      <c r="H328" s="116">
        <v>0</v>
      </c>
    </row>
    <row r="329" spans="1:8" ht="89.25">
      <c r="A329" s="106" t="s">
        <v>733</v>
      </c>
      <c r="B329" s="92" t="s">
        <v>734</v>
      </c>
      <c r="C329" s="280"/>
      <c r="D329" s="100" t="s">
        <v>82</v>
      </c>
      <c r="E329" s="100" t="s">
        <v>154</v>
      </c>
      <c r="F329" s="100" t="s">
        <v>153</v>
      </c>
      <c r="G329" s="116">
        <f>G330</f>
        <v>1652.6999999999998</v>
      </c>
      <c r="H329" s="116">
        <f>H330</f>
        <v>1652.6999999999998</v>
      </c>
    </row>
    <row r="330" spans="1:8">
      <c r="A330" s="106" t="s">
        <v>378</v>
      </c>
      <c r="B330" s="92" t="s">
        <v>734</v>
      </c>
      <c r="C330" s="100" t="s">
        <v>202</v>
      </c>
      <c r="D330" s="100" t="s">
        <v>82</v>
      </c>
      <c r="E330" s="100" t="s">
        <v>154</v>
      </c>
      <c r="F330" s="100" t="s">
        <v>153</v>
      </c>
      <c r="G330" s="116">
        <f>'пр.7 2024г'!G506</f>
        <v>1652.6999999999998</v>
      </c>
      <c r="H330" s="116">
        <f>G330</f>
        <v>1652.6999999999998</v>
      </c>
    </row>
    <row r="331" spans="1:8" ht="102">
      <c r="A331" s="106" t="s">
        <v>768</v>
      </c>
      <c r="B331" s="92" t="s">
        <v>734</v>
      </c>
      <c r="C331" s="280"/>
      <c r="D331" s="100" t="s">
        <v>82</v>
      </c>
      <c r="E331" s="100" t="s">
        <v>154</v>
      </c>
      <c r="F331" s="100" t="s">
        <v>153</v>
      </c>
      <c r="G331" s="116">
        <f>G332</f>
        <v>33.728670000000001</v>
      </c>
      <c r="H331" s="116">
        <v>0</v>
      </c>
    </row>
    <row r="332" spans="1:8">
      <c r="A332" s="106" t="s">
        <v>378</v>
      </c>
      <c r="B332" s="92" t="s">
        <v>734</v>
      </c>
      <c r="C332" s="100" t="s">
        <v>202</v>
      </c>
      <c r="D332" s="100" t="s">
        <v>82</v>
      </c>
      <c r="E332" s="100" t="s">
        <v>154</v>
      </c>
      <c r="F332" s="100" t="s">
        <v>153</v>
      </c>
      <c r="G332" s="116">
        <f>'пр.7 2024г'!G508</f>
        <v>33.728670000000001</v>
      </c>
      <c r="H332" s="116">
        <v>0</v>
      </c>
    </row>
    <row r="333" spans="1:8" ht="114.75" hidden="1">
      <c r="A333" s="106" t="s">
        <v>1058</v>
      </c>
      <c r="B333" s="92" t="s">
        <v>1062</v>
      </c>
      <c r="C333" s="280"/>
      <c r="D333" s="100" t="s">
        <v>82</v>
      </c>
      <c r="E333" s="100" t="s">
        <v>154</v>
      </c>
      <c r="F333" s="100" t="s">
        <v>153</v>
      </c>
      <c r="G333" s="116">
        <f>G334</f>
        <v>0</v>
      </c>
      <c r="H333" s="116">
        <f>H334</f>
        <v>0</v>
      </c>
    </row>
    <row r="334" spans="1:8" hidden="1">
      <c r="A334" s="106" t="s">
        <v>378</v>
      </c>
      <c r="B334" s="92" t="s">
        <v>1062</v>
      </c>
      <c r="C334" s="100" t="s">
        <v>202</v>
      </c>
      <c r="D334" s="100" t="s">
        <v>82</v>
      </c>
      <c r="E334" s="100" t="s">
        <v>154</v>
      </c>
      <c r="F334" s="100" t="s">
        <v>153</v>
      </c>
      <c r="G334" s="116">
        <f>'пр.7 2024г'!G510</f>
        <v>0</v>
      </c>
      <c r="H334" s="116">
        <f>G334</f>
        <v>0</v>
      </c>
    </row>
    <row r="335" spans="1:8" ht="114.75" hidden="1">
      <c r="A335" s="106" t="s">
        <v>1058</v>
      </c>
      <c r="B335" s="92" t="s">
        <v>1062</v>
      </c>
      <c r="C335" s="280"/>
      <c r="D335" s="100" t="s">
        <v>82</v>
      </c>
      <c r="E335" s="100" t="s">
        <v>154</v>
      </c>
      <c r="F335" s="100" t="s">
        <v>153</v>
      </c>
      <c r="G335" s="116">
        <f>G336</f>
        <v>0</v>
      </c>
      <c r="H335" s="116"/>
    </row>
    <row r="336" spans="1:8" hidden="1">
      <c r="A336" s="106" t="s">
        <v>378</v>
      </c>
      <c r="B336" s="92" t="s">
        <v>1062</v>
      </c>
      <c r="C336" s="100" t="s">
        <v>202</v>
      </c>
      <c r="D336" s="100" t="s">
        <v>82</v>
      </c>
      <c r="E336" s="100" t="s">
        <v>154</v>
      </c>
      <c r="F336" s="100" t="s">
        <v>153</v>
      </c>
      <c r="G336" s="116">
        <f>'пр.7 2024г'!G512</f>
        <v>0</v>
      </c>
      <c r="H336" s="116"/>
    </row>
    <row r="337" spans="1:9" ht="51">
      <c r="A337" s="106" t="s">
        <v>738</v>
      </c>
      <c r="B337" s="92" t="s">
        <v>740</v>
      </c>
      <c r="C337" s="280"/>
      <c r="D337" s="100" t="s">
        <v>82</v>
      </c>
      <c r="E337" s="100" t="s">
        <v>154</v>
      </c>
      <c r="F337" s="100" t="s">
        <v>153</v>
      </c>
      <c r="G337" s="116">
        <f>G338</f>
        <v>27547.599999999999</v>
      </c>
      <c r="H337" s="116">
        <f>H338</f>
        <v>27547.599999999999</v>
      </c>
    </row>
    <row r="338" spans="1:9">
      <c r="A338" s="106" t="s">
        <v>378</v>
      </c>
      <c r="B338" s="92" t="s">
        <v>740</v>
      </c>
      <c r="C338" s="100" t="s">
        <v>202</v>
      </c>
      <c r="D338" s="100" t="s">
        <v>82</v>
      </c>
      <c r="E338" s="100" t="s">
        <v>154</v>
      </c>
      <c r="F338" s="100" t="s">
        <v>153</v>
      </c>
      <c r="G338" s="116">
        <f>'пр.7 2024г'!G514</f>
        <v>27547.599999999999</v>
      </c>
      <c r="H338" s="116">
        <f>G338</f>
        <v>27547.599999999999</v>
      </c>
    </row>
    <row r="339" spans="1:9" ht="63.75">
      <c r="A339" s="106" t="s">
        <v>739</v>
      </c>
      <c r="B339" s="92" t="s">
        <v>740</v>
      </c>
      <c r="C339" s="280"/>
      <c r="D339" s="100" t="s">
        <v>82</v>
      </c>
      <c r="E339" s="100" t="s">
        <v>154</v>
      </c>
      <c r="F339" s="100" t="s">
        <v>153</v>
      </c>
      <c r="G339" s="116">
        <f>G340</f>
        <v>280.71922999999998</v>
      </c>
      <c r="H339" s="116">
        <v>0</v>
      </c>
    </row>
    <row r="340" spans="1:9">
      <c r="A340" s="106" t="s">
        <v>378</v>
      </c>
      <c r="B340" s="92" t="s">
        <v>740</v>
      </c>
      <c r="C340" s="100" t="s">
        <v>202</v>
      </c>
      <c r="D340" s="100" t="s">
        <v>82</v>
      </c>
      <c r="E340" s="100" t="s">
        <v>154</v>
      </c>
      <c r="F340" s="100" t="s">
        <v>153</v>
      </c>
      <c r="G340" s="116">
        <f>'пр.7 2024г'!G516</f>
        <v>280.71922999999998</v>
      </c>
      <c r="H340" s="116">
        <v>0</v>
      </c>
    </row>
    <row r="341" spans="1:9" ht="51">
      <c r="A341" s="106" t="s">
        <v>554</v>
      </c>
      <c r="B341" s="100" t="s">
        <v>665</v>
      </c>
      <c r="C341" s="280"/>
      <c r="D341" s="100" t="s">
        <v>82</v>
      </c>
      <c r="E341" s="100" t="s">
        <v>154</v>
      </c>
      <c r="F341" s="100" t="s">
        <v>153</v>
      </c>
      <c r="G341" s="116">
        <f>G342</f>
        <v>33747.799999999996</v>
      </c>
      <c r="H341" s="116">
        <f>H342</f>
        <v>33747.799999999996</v>
      </c>
    </row>
    <row r="342" spans="1:9">
      <c r="A342" s="107" t="s">
        <v>205</v>
      </c>
      <c r="B342" s="100" t="s">
        <v>665</v>
      </c>
      <c r="C342" s="100" t="s">
        <v>202</v>
      </c>
      <c r="D342" s="100" t="s">
        <v>82</v>
      </c>
      <c r="E342" s="100" t="s">
        <v>154</v>
      </c>
      <c r="F342" s="100" t="s">
        <v>153</v>
      </c>
      <c r="G342" s="116">
        <f>'пр.7 2024г'!G518</f>
        <v>33747.799999999996</v>
      </c>
      <c r="H342" s="116">
        <f>G342</f>
        <v>33747.799999999996</v>
      </c>
    </row>
    <row r="343" spans="1:9" ht="76.5" hidden="1">
      <c r="A343" s="107" t="s">
        <v>1039</v>
      </c>
      <c r="B343" s="567" t="s">
        <v>1045</v>
      </c>
      <c r="C343" s="280"/>
      <c r="D343" s="100" t="s">
        <v>82</v>
      </c>
      <c r="E343" s="100" t="s">
        <v>154</v>
      </c>
      <c r="F343" s="100" t="s">
        <v>153</v>
      </c>
      <c r="G343" s="116">
        <f>G344</f>
        <v>0</v>
      </c>
      <c r="H343" s="116">
        <f>H344</f>
        <v>0</v>
      </c>
    </row>
    <row r="344" spans="1:9" hidden="1">
      <c r="A344" s="107" t="s">
        <v>205</v>
      </c>
      <c r="B344" s="567" t="s">
        <v>1045</v>
      </c>
      <c r="C344" s="100" t="s">
        <v>202</v>
      </c>
      <c r="D344" s="100" t="s">
        <v>82</v>
      </c>
      <c r="E344" s="100" t="s">
        <v>154</v>
      </c>
      <c r="F344" s="100" t="s">
        <v>153</v>
      </c>
      <c r="G344" s="116">
        <v>0</v>
      </c>
      <c r="H344" s="116">
        <f>G344</f>
        <v>0</v>
      </c>
    </row>
    <row r="345" spans="1:9" ht="89.25" hidden="1">
      <c r="A345" s="107" t="s">
        <v>1047</v>
      </c>
      <c r="B345" s="567" t="s">
        <v>1045</v>
      </c>
      <c r="C345" s="280"/>
      <c r="D345" s="100" t="s">
        <v>82</v>
      </c>
      <c r="E345" s="100" t="s">
        <v>154</v>
      </c>
      <c r="F345" s="100" t="s">
        <v>153</v>
      </c>
      <c r="G345" s="116">
        <f>G346</f>
        <v>0</v>
      </c>
      <c r="H345" s="116"/>
    </row>
    <row r="346" spans="1:9" hidden="1">
      <c r="A346" s="107" t="s">
        <v>205</v>
      </c>
      <c r="B346" s="567" t="s">
        <v>1045</v>
      </c>
      <c r="C346" s="100" t="s">
        <v>202</v>
      </c>
      <c r="D346" s="100" t="s">
        <v>82</v>
      </c>
      <c r="E346" s="100" t="s">
        <v>154</v>
      </c>
      <c r="F346" s="100" t="s">
        <v>153</v>
      </c>
      <c r="G346" s="116">
        <v>0</v>
      </c>
      <c r="H346" s="116"/>
    </row>
    <row r="347" spans="1:9" ht="76.5">
      <c r="A347" s="106" t="s">
        <v>998</v>
      </c>
      <c r="B347" s="100" t="s">
        <v>999</v>
      </c>
      <c r="C347" s="92"/>
      <c r="D347" s="100" t="s">
        <v>82</v>
      </c>
      <c r="E347" s="100" t="s">
        <v>154</v>
      </c>
      <c r="F347" s="100" t="s">
        <v>156</v>
      </c>
      <c r="G347" s="116">
        <f>G348</f>
        <v>3213.8</v>
      </c>
      <c r="H347" s="116">
        <f>H348</f>
        <v>3213.8</v>
      </c>
    </row>
    <row r="348" spans="1:9">
      <c r="A348" s="107" t="s">
        <v>205</v>
      </c>
      <c r="B348" s="100" t="s">
        <v>999</v>
      </c>
      <c r="C348" s="92" t="s">
        <v>202</v>
      </c>
      <c r="D348" s="100" t="s">
        <v>82</v>
      </c>
      <c r="E348" s="100" t="s">
        <v>154</v>
      </c>
      <c r="F348" s="100" t="s">
        <v>156</v>
      </c>
      <c r="G348" s="116">
        <f>'пр.7 2024г'!G622</f>
        <v>3213.8</v>
      </c>
      <c r="H348" s="116">
        <f>G348</f>
        <v>3213.8</v>
      </c>
    </row>
    <row r="349" spans="1:9" ht="51">
      <c r="A349" s="285" t="s">
        <v>352</v>
      </c>
      <c r="B349" s="283" t="s">
        <v>592</v>
      </c>
      <c r="C349" s="286"/>
      <c r="D349" s="283" t="s">
        <v>82</v>
      </c>
      <c r="E349" s="283" t="s">
        <v>677</v>
      </c>
      <c r="F349" s="283" t="s">
        <v>155</v>
      </c>
      <c r="G349" s="284">
        <f>G350</f>
        <v>27855.944159999999</v>
      </c>
      <c r="H349" s="284">
        <f t="shared" ref="H349" si="35">H350</f>
        <v>11016.6</v>
      </c>
      <c r="I349" s="484" t="e">
        <f>#REF!-#REF!</f>
        <v>#REF!</v>
      </c>
    </row>
    <row r="350" spans="1:9" ht="38.25">
      <c r="A350" s="423" t="s">
        <v>593</v>
      </c>
      <c r="B350" s="514" t="s">
        <v>594</v>
      </c>
      <c r="C350" s="514"/>
      <c r="D350" s="100" t="s">
        <v>82</v>
      </c>
      <c r="E350" s="100" t="s">
        <v>154</v>
      </c>
      <c r="F350" s="100" t="s">
        <v>155</v>
      </c>
      <c r="G350" s="116">
        <f>G351+G353+G355+G357+G359+G363+G365+G361</f>
        <v>27855.944159999999</v>
      </c>
      <c r="H350" s="116">
        <f t="shared" ref="H350" si="36">H351+H353+H355+H357+H359+H363+H365+H361</f>
        <v>11016.6</v>
      </c>
    </row>
    <row r="351" spans="1:9" ht="38.25">
      <c r="A351" s="263" t="s">
        <v>292</v>
      </c>
      <c r="B351" s="265" t="s">
        <v>724</v>
      </c>
      <c r="C351" s="514"/>
      <c r="D351" s="100" t="s">
        <v>82</v>
      </c>
      <c r="E351" s="100" t="s">
        <v>154</v>
      </c>
      <c r="F351" s="100" t="s">
        <v>155</v>
      </c>
      <c r="G351" s="116">
        <f>G352</f>
        <v>6333.8411599999999</v>
      </c>
      <c r="H351" s="116">
        <v>0</v>
      </c>
    </row>
    <row r="352" spans="1:9">
      <c r="A352" s="106" t="s">
        <v>203</v>
      </c>
      <c r="B352" s="265" t="s">
        <v>666</v>
      </c>
      <c r="C352" s="100" t="s">
        <v>319</v>
      </c>
      <c r="D352" s="100" t="s">
        <v>82</v>
      </c>
      <c r="E352" s="100" t="s">
        <v>154</v>
      </c>
      <c r="F352" s="100" t="s">
        <v>155</v>
      </c>
      <c r="G352" s="116">
        <f>'пр.7 2024г'!G564</f>
        <v>6333.8411599999999</v>
      </c>
      <c r="H352" s="327">
        <v>0</v>
      </c>
    </row>
    <row r="353" spans="1:8" ht="38.25" hidden="1">
      <c r="A353" s="107" t="s">
        <v>520</v>
      </c>
      <c r="B353" s="100" t="s">
        <v>667</v>
      </c>
      <c r="C353" s="100"/>
      <c r="D353" s="100" t="s">
        <v>82</v>
      </c>
      <c r="E353" s="100" t="s">
        <v>154</v>
      </c>
      <c r="F353" s="100" t="s">
        <v>155</v>
      </c>
      <c r="G353" s="116">
        <f>G354</f>
        <v>0</v>
      </c>
      <c r="H353" s="116">
        <f t="shared" ref="H353" si="37">H354</f>
        <v>0</v>
      </c>
    </row>
    <row r="354" spans="1:8" hidden="1">
      <c r="A354" s="107" t="s">
        <v>205</v>
      </c>
      <c r="B354" s="100" t="s">
        <v>667</v>
      </c>
      <c r="C354" s="100" t="s">
        <v>202</v>
      </c>
      <c r="D354" s="100" t="s">
        <v>82</v>
      </c>
      <c r="E354" s="100" t="s">
        <v>154</v>
      </c>
      <c r="F354" s="100" t="s">
        <v>155</v>
      </c>
      <c r="G354" s="116">
        <f>'пр.7 2024г'!G566</f>
        <v>0</v>
      </c>
      <c r="H354" s="327">
        <v>0</v>
      </c>
    </row>
    <row r="355" spans="1:8" ht="51" hidden="1">
      <c r="A355" s="107" t="s">
        <v>532</v>
      </c>
      <c r="B355" s="100" t="s">
        <v>667</v>
      </c>
      <c r="C355" s="100"/>
      <c r="D355" s="100" t="s">
        <v>82</v>
      </c>
      <c r="E355" s="100" t="s">
        <v>154</v>
      </c>
      <c r="F355" s="100" t="s">
        <v>155</v>
      </c>
      <c r="G355" s="116">
        <f>G356</f>
        <v>428.60300000000001</v>
      </c>
      <c r="H355" s="327">
        <v>0</v>
      </c>
    </row>
    <row r="356" spans="1:8" hidden="1">
      <c r="A356" s="107" t="s">
        <v>205</v>
      </c>
      <c r="B356" s="100" t="s">
        <v>667</v>
      </c>
      <c r="C356" s="100" t="s">
        <v>202</v>
      </c>
      <c r="D356" s="100" t="s">
        <v>82</v>
      </c>
      <c r="E356" s="100" t="s">
        <v>154</v>
      </c>
      <c r="F356" s="100" t="s">
        <v>155</v>
      </c>
      <c r="G356" s="116">
        <f>'пр.7 2024г'!G567</f>
        <v>428.60300000000001</v>
      </c>
      <c r="H356" s="327">
        <v>0</v>
      </c>
    </row>
    <row r="357" spans="1:8" ht="38.25">
      <c r="A357" s="482" t="s">
        <v>125</v>
      </c>
      <c r="B357" s="100" t="s">
        <v>668</v>
      </c>
      <c r="C357" s="100"/>
      <c r="D357" s="100" t="s">
        <v>82</v>
      </c>
      <c r="E357" s="100" t="s">
        <v>154</v>
      </c>
      <c r="F357" s="100" t="s">
        <v>155</v>
      </c>
      <c r="G357" s="116">
        <f>G358</f>
        <v>10916.6</v>
      </c>
      <c r="H357" s="327">
        <f>H358</f>
        <v>10916.6</v>
      </c>
    </row>
    <row r="358" spans="1:8">
      <c r="A358" s="107" t="s">
        <v>205</v>
      </c>
      <c r="B358" s="100" t="s">
        <v>668</v>
      </c>
      <c r="C358" s="100" t="s">
        <v>202</v>
      </c>
      <c r="D358" s="100" t="s">
        <v>82</v>
      </c>
      <c r="E358" s="100" t="s">
        <v>154</v>
      </c>
      <c r="F358" s="100" t="s">
        <v>155</v>
      </c>
      <c r="G358" s="116">
        <f>'пр.7 2024г'!G560</f>
        <v>10916.6</v>
      </c>
      <c r="H358" s="327">
        <f>G358</f>
        <v>10916.6</v>
      </c>
    </row>
    <row r="359" spans="1:8" ht="51">
      <c r="A359" s="482" t="s">
        <v>491</v>
      </c>
      <c r="B359" s="100" t="s">
        <v>668</v>
      </c>
      <c r="C359" s="100"/>
      <c r="D359" s="100" t="s">
        <v>82</v>
      </c>
      <c r="E359" s="100" t="s">
        <v>154</v>
      </c>
      <c r="F359" s="100" t="s">
        <v>155</v>
      </c>
      <c r="G359" s="116">
        <f>G360</f>
        <v>10076.9</v>
      </c>
      <c r="H359" s="116">
        <f t="shared" ref="H359" si="38">H360</f>
        <v>0</v>
      </c>
    </row>
    <row r="360" spans="1:8">
      <c r="A360" s="107" t="s">
        <v>205</v>
      </c>
      <c r="B360" s="100" t="s">
        <v>668</v>
      </c>
      <c r="C360" s="100" t="s">
        <v>202</v>
      </c>
      <c r="D360" s="100" t="s">
        <v>82</v>
      </c>
      <c r="E360" s="100" t="s">
        <v>154</v>
      </c>
      <c r="F360" s="100" t="s">
        <v>155</v>
      </c>
      <c r="G360" s="116">
        <f>'пр.7 2024г'!G562</f>
        <v>10076.9</v>
      </c>
      <c r="H360" s="327">
        <v>0</v>
      </c>
    </row>
    <row r="361" spans="1:8" ht="76.5" hidden="1">
      <c r="A361" s="483" t="s">
        <v>570</v>
      </c>
      <c r="B361" s="100" t="s">
        <v>718</v>
      </c>
      <c r="C361" s="100"/>
      <c r="D361" s="100" t="s">
        <v>82</v>
      </c>
      <c r="E361" s="100" t="s">
        <v>154</v>
      </c>
      <c r="F361" s="100" t="s">
        <v>155</v>
      </c>
      <c r="G361" s="116">
        <f>G362</f>
        <v>0</v>
      </c>
      <c r="H361" s="327">
        <f>H362</f>
        <v>0</v>
      </c>
    </row>
    <row r="362" spans="1:8" hidden="1">
      <c r="A362" s="107" t="s">
        <v>205</v>
      </c>
      <c r="B362" s="100" t="s">
        <v>718</v>
      </c>
      <c r="C362" s="100" t="s">
        <v>202</v>
      </c>
      <c r="D362" s="100" t="s">
        <v>82</v>
      </c>
      <c r="E362" s="100" t="s">
        <v>154</v>
      </c>
      <c r="F362" s="100" t="s">
        <v>155</v>
      </c>
      <c r="G362" s="116">
        <f>'пр.7 2024г'!G570</f>
        <v>0</v>
      </c>
      <c r="H362" s="327">
        <f>G362</f>
        <v>0</v>
      </c>
    </row>
    <row r="363" spans="1:8" ht="51" hidden="1">
      <c r="A363" s="107" t="s">
        <v>556</v>
      </c>
      <c r="B363" s="514" t="s">
        <v>562</v>
      </c>
      <c r="C363" s="100"/>
      <c r="D363" s="100" t="s">
        <v>82</v>
      </c>
      <c r="E363" s="100" t="s">
        <v>154</v>
      </c>
      <c r="F363" s="100" t="s">
        <v>155</v>
      </c>
      <c r="G363" s="116">
        <f>G364</f>
        <v>0</v>
      </c>
      <c r="H363" s="327">
        <v>0</v>
      </c>
    </row>
    <row r="364" spans="1:8" hidden="1">
      <c r="A364" s="107" t="s">
        <v>205</v>
      </c>
      <c r="B364" s="514" t="s">
        <v>562</v>
      </c>
      <c r="C364" s="100" t="s">
        <v>202</v>
      </c>
      <c r="D364" s="100" t="s">
        <v>82</v>
      </c>
      <c r="E364" s="100" t="s">
        <v>154</v>
      </c>
      <c r="F364" s="100" t="s">
        <v>155</v>
      </c>
      <c r="G364" s="116">
        <v>0</v>
      </c>
      <c r="H364" s="327">
        <v>0</v>
      </c>
    </row>
    <row r="365" spans="1:8" ht="229.5">
      <c r="A365" s="21" t="s">
        <v>525</v>
      </c>
      <c r="B365" s="529" t="s">
        <v>669</v>
      </c>
      <c r="C365" s="100"/>
      <c r="D365" s="100" t="s">
        <v>82</v>
      </c>
      <c r="E365" s="100" t="s">
        <v>157</v>
      </c>
      <c r="F365" s="100" t="s">
        <v>155</v>
      </c>
      <c r="G365" s="116">
        <f>G366</f>
        <v>100</v>
      </c>
      <c r="H365" s="327">
        <f>H366</f>
        <v>100</v>
      </c>
    </row>
    <row r="366" spans="1:8">
      <c r="A366" s="107" t="s">
        <v>205</v>
      </c>
      <c r="B366" s="529" t="s">
        <v>669</v>
      </c>
      <c r="C366" s="100" t="s">
        <v>202</v>
      </c>
      <c r="D366" s="100" t="s">
        <v>82</v>
      </c>
      <c r="E366" s="100" t="s">
        <v>157</v>
      </c>
      <c r="F366" s="100" t="s">
        <v>155</v>
      </c>
      <c r="G366" s="116">
        <f>'пр.7 2024г'!G677</f>
        <v>100</v>
      </c>
      <c r="H366" s="327">
        <f>G366</f>
        <v>100</v>
      </c>
    </row>
    <row r="367" spans="1:8" ht="38.25">
      <c r="A367" s="285" t="s">
        <v>353</v>
      </c>
      <c r="B367" s="525" t="s">
        <v>597</v>
      </c>
      <c r="C367" s="286"/>
      <c r="D367" s="283" t="s">
        <v>82</v>
      </c>
      <c r="E367" s="283" t="s">
        <v>154</v>
      </c>
      <c r="F367" s="283" t="s">
        <v>154</v>
      </c>
      <c r="G367" s="284">
        <f>G368</f>
        <v>10303.799999999999</v>
      </c>
      <c r="H367" s="284">
        <f>H368</f>
        <v>7781.8</v>
      </c>
    </row>
    <row r="368" spans="1:8" ht="25.5">
      <c r="A368" s="285" t="s">
        <v>591</v>
      </c>
      <c r="B368" s="525" t="s">
        <v>598</v>
      </c>
      <c r="C368" s="286"/>
      <c r="D368" s="283" t="s">
        <v>82</v>
      </c>
      <c r="E368" s="283" t="s">
        <v>154</v>
      </c>
      <c r="F368" s="283" t="s">
        <v>154</v>
      </c>
      <c r="G368" s="284">
        <f>G369+G372+G375+G378+G381+G370</f>
        <v>10303.799999999999</v>
      </c>
      <c r="H368" s="284">
        <f>H369+H372+H375+H378+H381+H370</f>
        <v>7781.8</v>
      </c>
    </row>
    <row r="369" spans="1:8">
      <c r="A369" s="109" t="s">
        <v>267</v>
      </c>
      <c r="B369" s="265" t="s">
        <v>670</v>
      </c>
      <c r="C369" s="100" t="s">
        <v>320</v>
      </c>
      <c r="D369" s="100" t="s">
        <v>82</v>
      </c>
      <c r="E369" s="100" t="s">
        <v>154</v>
      </c>
      <c r="F369" s="100" t="s">
        <v>154</v>
      </c>
      <c r="G369" s="116">
        <f>'пр.7 2024г'!G583</f>
        <v>2522</v>
      </c>
      <c r="H369" s="116">
        <v>0</v>
      </c>
    </row>
    <row r="370" spans="1:8" ht="76.5" hidden="1">
      <c r="A370" s="483" t="s">
        <v>570</v>
      </c>
      <c r="B370" s="100" t="s">
        <v>1044</v>
      </c>
      <c r="C370" s="100"/>
      <c r="D370" s="100" t="s">
        <v>82</v>
      </c>
      <c r="E370" s="100" t="s">
        <v>154</v>
      </c>
      <c r="F370" s="100" t="s">
        <v>154</v>
      </c>
      <c r="G370" s="116">
        <f>G371</f>
        <v>0</v>
      </c>
      <c r="H370" s="116">
        <f>H371</f>
        <v>0</v>
      </c>
    </row>
    <row r="371" spans="1:8" hidden="1">
      <c r="A371" s="107" t="s">
        <v>269</v>
      </c>
      <c r="B371" s="100" t="s">
        <v>1044</v>
      </c>
      <c r="C371" s="100" t="s">
        <v>270</v>
      </c>
      <c r="D371" s="100" t="s">
        <v>82</v>
      </c>
      <c r="E371" s="100" t="s">
        <v>154</v>
      </c>
      <c r="F371" s="100" t="s">
        <v>154</v>
      </c>
      <c r="G371" s="116">
        <f>'пр.7 2024г'!G585</f>
        <v>0</v>
      </c>
      <c r="H371" s="116">
        <f>G371</f>
        <v>0</v>
      </c>
    </row>
    <row r="372" spans="1:8" ht="38.25">
      <c r="A372" s="40" t="s">
        <v>126</v>
      </c>
      <c r="B372" s="100" t="s">
        <v>671</v>
      </c>
      <c r="C372" s="280"/>
      <c r="D372" s="100" t="s">
        <v>82</v>
      </c>
      <c r="E372" s="100" t="s">
        <v>154</v>
      </c>
      <c r="F372" s="100" t="s">
        <v>154</v>
      </c>
      <c r="G372" s="116">
        <f>G373+G374</f>
        <v>3247.2</v>
      </c>
      <c r="H372" s="116">
        <f>H373+H374</f>
        <v>3247.2</v>
      </c>
    </row>
    <row r="373" spans="1:8" ht="38.25" hidden="1">
      <c r="A373" s="40" t="s">
        <v>340</v>
      </c>
      <c r="B373" s="100" t="s">
        <v>671</v>
      </c>
      <c r="C373" s="100" t="s">
        <v>273</v>
      </c>
      <c r="D373" s="100" t="s">
        <v>82</v>
      </c>
      <c r="E373" s="100" t="s">
        <v>154</v>
      </c>
      <c r="F373" s="100" t="s">
        <v>154</v>
      </c>
      <c r="G373" s="116">
        <f>'пр.7 2024г'!G587</f>
        <v>0</v>
      </c>
      <c r="H373" s="327">
        <f>G373</f>
        <v>0</v>
      </c>
    </row>
    <row r="374" spans="1:8" ht="41.25" customHeight="1">
      <c r="A374" s="107" t="s">
        <v>205</v>
      </c>
      <c r="B374" s="100" t="s">
        <v>671</v>
      </c>
      <c r="C374" s="100" t="s">
        <v>202</v>
      </c>
      <c r="D374" s="100" t="s">
        <v>82</v>
      </c>
      <c r="E374" s="100" t="s">
        <v>154</v>
      </c>
      <c r="F374" s="100" t="s">
        <v>154</v>
      </c>
      <c r="G374" s="116">
        <f>'пр.7 2024г'!G588</f>
        <v>3247.2</v>
      </c>
      <c r="H374" s="327">
        <f>G374</f>
        <v>3247.2</v>
      </c>
    </row>
    <row r="375" spans="1:8" ht="153" hidden="1">
      <c r="A375" s="40" t="s">
        <v>534</v>
      </c>
      <c r="B375" s="100" t="s">
        <v>671</v>
      </c>
      <c r="C375" s="100"/>
      <c r="D375" s="100" t="s">
        <v>82</v>
      </c>
      <c r="E375" s="100" t="s">
        <v>154</v>
      </c>
      <c r="F375" s="100" t="s">
        <v>154</v>
      </c>
      <c r="G375" s="116">
        <f>G377+G376</f>
        <v>0</v>
      </c>
      <c r="H375" s="327">
        <v>0</v>
      </c>
    </row>
    <row r="376" spans="1:8" ht="38.25" hidden="1">
      <c r="A376" s="40" t="s">
        <v>340</v>
      </c>
      <c r="B376" s="100" t="s">
        <v>671</v>
      </c>
      <c r="C376" s="100" t="s">
        <v>273</v>
      </c>
      <c r="D376" s="100" t="s">
        <v>82</v>
      </c>
      <c r="E376" s="100" t="s">
        <v>154</v>
      </c>
      <c r="F376" s="100" t="s">
        <v>154</v>
      </c>
      <c r="G376" s="116">
        <f>'пр.7 2024г'!G590</f>
        <v>0</v>
      </c>
      <c r="H376" s="327">
        <v>0</v>
      </c>
    </row>
    <row r="377" spans="1:8" ht="38.25" hidden="1" customHeight="1">
      <c r="A377" s="107" t="s">
        <v>205</v>
      </c>
      <c r="B377" s="100" t="s">
        <v>671</v>
      </c>
      <c r="C377" s="100" t="s">
        <v>202</v>
      </c>
      <c r="D377" s="100" t="s">
        <v>82</v>
      </c>
      <c r="E377" s="100" t="s">
        <v>154</v>
      </c>
      <c r="F377" s="100" t="s">
        <v>154</v>
      </c>
      <c r="G377" s="116">
        <f>'пр.7 2024г'!G591</f>
        <v>0</v>
      </c>
      <c r="H377" s="327">
        <v>0</v>
      </c>
    </row>
    <row r="378" spans="1:8" ht="38.25">
      <c r="A378" s="40" t="s">
        <v>568</v>
      </c>
      <c r="B378" s="265" t="s">
        <v>672</v>
      </c>
      <c r="C378" s="280"/>
      <c r="D378" s="100" t="s">
        <v>82</v>
      </c>
      <c r="E378" s="100" t="s">
        <v>154</v>
      </c>
      <c r="F378" s="100" t="s">
        <v>154</v>
      </c>
      <c r="G378" s="116">
        <f>G379+G380</f>
        <v>4467.6000000000004</v>
      </c>
      <c r="H378" s="116">
        <f t="shared" ref="H378" si="39">H379+H380</f>
        <v>4467.6000000000004</v>
      </c>
    </row>
    <row r="379" spans="1:8" ht="38.25">
      <c r="A379" s="40" t="s">
        <v>340</v>
      </c>
      <c r="B379" s="265" t="s">
        <v>672</v>
      </c>
      <c r="C379" s="100" t="s">
        <v>273</v>
      </c>
      <c r="D379" s="100" t="s">
        <v>82</v>
      </c>
      <c r="E379" s="100" t="s">
        <v>154</v>
      </c>
      <c r="F379" s="100" t="s">
        <v>154</v>
      </c>
      <c r="G379" s="116">
        <f>'пр.7 2024г'!G593</f>
        <v>0</v>
      </c>
      <c r="H379" s="289">
        <f>G379</f>
        <v>0</v>
      </c>
    </row>
    <row r="380" spans="1:8" ht="39.75" customHeight="1">
      <c r="A380" s="107" t="s">
        <v>205</v>
      </c>
      <c r="B380" s="265" t="s">
        <v>672</v>
      </c>
      <c r="C380" s="100" t="s">
        <v>202</v>
      </c>
      <c r="D380" s="100" t="s">
        <v>82</v>
      </c>
      <c r="E380" s="100" t="s">
        <v>154</v>
      </c>
      <c r="F380" s="100" t="s">
        <v>154</v>
      </c>
      <c r="G380" s="116">
        <f>'пр.7 2024г'!G594</f>
        <v>4467.6000000000004</v>
      </c>
      <c r="H380" s="289">
        <f>G380</f>
        <v>4467.6000000000004</v>
      </c>
    </row>
    <row r="381" spans="1:8" ht="38.25">
      <c r="A381" s="106" t="s">
        <v>569</v>
      </c>
      <c r="B381" s="265" t="s">
        <v>673</v>
      </c>
      <c r="C381" s="100"/>
      <c r="D381" s="100" t="s">
        <v>82</v>
      </c>
      <c r="E381" s="100" t="s">
        <v>154</v>
      </c>
      <c r="F381" s="100" t="s">
        <v>154</v>
      </c>
      <c r="G381" s="116">
        <f>G382+G383</f>
        <v>67</v>
      </c>
      <c r="H381" s="116">
        <f>H382+H383</f>
        <v>67</v>
      </c>
    </row>
    <row r="382" spans="1:8" ht="63.75">
      <c r="A382" s="106" t="s">
        <v>112</v>
      </c>
      <c r="B382" s="265" t="s">
        <v>673</v>
      </c>
      <c r="C382" s="100" t="s">
        <v>332</v>
      </c>
      <c r="D382" s="100" t="s">
        <v>82</v>
      </c>
      <c r="E382" s="100" t="s">
        <v>154</v>
      </c>
      <c r="F382" s="100" t="s">
        <v>154</v>
      </c>
      <c r="G382" s="116">
        <f>'пр.7 2024г'!G598</f>
        <v>51.459290000000003</v>
      </c>
      <c r="H382" s="116">
        <f>G382</f>
        <v>51.459290000000003</v>
      </c>
    </row>
    <row r="383" spans="1:8" ht="25.5">
      <c r="A383" s="106" t="s">
        <v>423</v>
      </c>
      <c r="B383" s="265" t="s">
        <v>673</v>
      </c>
      <c r="C383" s="265">
        <v>119</v>
      </c>
      <c r="D383" s="100" t="s">
        <v>82</v>
      </c>
      <c r="E383" s="100" t="s">
        <v>154</v>
      </c>
      <c r="F383" s="100" t="s">
        <v>154</v>
      </c>
      <c r="G383" s="116">
        <f>'пр.7 2024г'!G599</f>
        <v>15.540710000000001</v>
      </c>
      <c r="H383" s="116">
        <f>G383</f>
        <v>15.540710000000001</v>
      </c>
    </row>
    <row r="384" spans="1:8" ht="38.25" hidden="1">
      <c r="A384" s="110" t="s">
        <v>209</v>
      </c>
      <c r="B384" s="265" t="s">
        <v>673</v>
      </c>
      <c r="C384" s="265">
        <v>244</v>
      </c>
      <c r="D384" s="100" t="s">
        <v>82</v>
      </c>
      <c r="E384" s="100" t="s">
        <v>154</v>
      </c>
      <c r="F384" s="100" t="s">
        <v>154</v>
      </c>
      <c r="G384" s="116">
        <f>'пр.7 2024г'!G600</f>
        <v>0</v>
      </c>
      <c r="H384" s="116">
        <f>G384</f>
        <v>0</v>
      </c>
    </row>
    <row r="385" spans="1:8" ht="51">
      <c r="A385" s="560" t="s">
        <v>1121</v>
      </c>
      <c r="B385" s="561" t="s">
        <v>715</v>
      </c>
      <c r="C385" s="561"/>
      <c r="D385" s="562" t="s">
        <v>82</v>
      </c>
      <c r="E385" s="562" t="s">
        <v>154</v>
      </c>
      <c r="F385" s="562"/>
      <c r="G385" s="563">
        <f>G386</f>
        <v>5585.7599999999993</v>
      </c>
      <c r="H385" s="563">
        <f>H386</f>
        <v>4143.8999999999996</v>
      </c>
    </row>
    <row r="386" spans="1:8" ht="38.25">
      <c r="A386" s="560" t="s">
        <v>705</v>
      </c>
      <c r="B386" s="561" t="s">
        <v>712</v>
      </c>
      <c r="C386" s="561"/>
      <c r="D386" s="562" t="s">
        <v>82</v>
      </c>
      <c r="E386" s="562" t="s">
        <v>154</v>
      </c>
      <c r="F386" s="562"/>
      <c r="G386" s="563">
        <f>G387+G388+G389+G390+G391</f>
        <v>5585.7599999999993</v>
      </c>
      <c r="H386" s="563">
        <f>H389</f>
        <v>4143.8999999999996</v>
      </c>
    </row>
    <row r="387" spans="1:8" hidden="1">
      <c r="A387" s="106" t="s">
        <v>378</v>
      </c>
      <c r="B387" s="100" t="s">
        <v>710</v>
      </c>
      <c r="C387" s="567">
        <v>612</v>
      </c>
      <c r="D387" s="514" t="s">
        <v>82</v>
      </c>
      <c r="E387" s="514" t="s">
        <v>154</v>
      </c>
      <c r="F387" s="514" t="s">
        <v>152</v>
      </c>
      <c r="G387" s="323">
        <f>'пр.7 2024г'!G459</f>
        <v>0</v>
      </c>
      <c r="H387" s="323">
        <v>0</v>
      </c>
    </row>
    <row r="388" spans="1:8" hidden="1">
      <c r="A388" s="107" t="s">
        <v>269</v>
      </c>
      <c r="B388" s="100" t="s">
        <v>710</v>
      </c>
      <c r="C388" s="567">
        <v>622</v>
      </c>
      <c r="D388" s="514" t="s">
        <v>82</v>
      </c>
      <c r="E388" s="514" t="s">
        <v>154</v>
      </c>
      <c r="F388" s="514" t="s">
        <v>152</v>
      </c>
      <c r="G388" s="323">
        <f>'пр.7 2024г'!G460</f>
        <v>0</v>
      </c>
      <c r="H388" s="323">
        <v>0</v>
      </c>
    </row>
    <row r="389" spans="1:8">
      <c r="A389" s="106" t="s">
        <v>378</v>
      </c>
      <c r="B389" s="567" t="s">
        <v>1045</v>
      </c>
      <c r="C389" s="567">
        <v>612</v>
      </c>
      <c r="D389" s="514" t="s">
        <v>82</v>
      </c>
      <c r="E389" s="514" t="s">
        <v>154</v>
      </c>
      <c r="F389" s="514" t="s">
        <v>153</v>
      </c>
      <c r="G389" s="323">
        <f>'пр.7 2024г'!G525</f>
        <v>4185.7599999999993</v>
      </c>
      <c r="H389" s="323">
        <f>'пр.7 2024г'!G530</f>
        <v>4143.8999999999996</v>
      </c>
    </row>
    <row r="390" spans="1:8" hidden="1">
      <c r="A390" s="106" t="s">
        <v>378</v>
      </c>
      <c r="B390" s="100" t="s">
        <v>710</v>
      </c>
      <c r="C390" s="567">
        <v>612</v>
      </c>
      <c r="D390" s="514" t="s">
        <v>82</v>
      </c>
      <c r="E390" s="514" t="s">
        <v>154</v>
      </c>
      <c r="F390" s="514" t="s">
        <v>155</v>
      </c>
      <c r="G390" s="323">
        <f>'пр.7 2024г'!G575</f>
        <v>0</v>
      </c>
      <c r="H390" s="323">
        <v>0</v>
      </c>
    </row>
    <row r="391" spans="1:8">
      <c r="A391" s="107" t="s">
        <v>269</v>
      </c>
      <c r="B391" s="100" t="s">
        <v>710</v>
      </c>
      <c r="C391" s="567">
        <v>622</v>
      </c>
      <c r="D391" s="514" t="s">
        <v>82</v>
      </c>
      <c r="E391" s="514" t="s">
        <v>154</v>
      </c>
      <c r="F391" s="514" t="s">
        <v>154</v>
      </c>
      <c r="G391" s="323">
        <f>'пр.7 2024г'!G603</f>
        <v>1400</v>
      </c>
      <c r="H391" s="323">
        <v>0</v>
      </c>
    </row>
    <row r="392" spans="1:8" ht="25.5">
      <c r="A392" s="560" t="s">
        <v>969</v>
      </c>
      <c r="B392" s="561" t="s">
        <v>713</v>
      </c>
      <c r="C392" s="561"/>
      <c r="D392" s="562" t="s">
        <v>82</v>
      </c>
      <c r="E392" s="562" t="s">
        <v>154</v>
      </c>
      <c r="F392" s="562" t="s">
        <v>723</v>
      </c>
      <c r="G392" s="563">
        <f>G393</f>
        <v>957.96</v>
      </c>
      <c r="H392" s="563">
        <f>H393</f>
        <v>623</v>
      </c>
    </row>
    <row r="393" spans="1:8" ht="25.5">
      <c r="A393" s="560" t="s">
        <v>720</v>
      </c>
      <c r="B393" s="561" t="s">
        <v>714</v>
      </c>
      <c r="C393" s="561"/>
      <c r="D393" s="562" t="s">
        <v>82</v>
      </c>
      <c r="E393" s="562" t="s">
        <v>154</v>
      </c>
      <c r="F393" s="562" t="s">
        <v>723</v>
      </c>
      <c r="G393" s="563">
        <f>G396+G399+G402+G394+G401</f>
        <v>957.96</v>
      </c>
      <c r="H393" s="563">
        <f t="shared" ref="H393" si="40">H396+H399+H402</f>
        <v>623</v>
      </c>
    </row>
    <row r="394" spans="1:8" s="180" customFormat="1" ht="25.5" hidden="1">
      <c r="A394" s="1" t="s">
        <v>763</v>
      </c>
      <c r="B394" s="567" t="s">
        <v>719</v>
      </c>
      <c r="C394" s="514"/>
      <c r="D394" s="514" t="s">
        <v>82</v>
      </c>
      <c r="E394" s="514" t="s">
        <v>154</v>
      </c>
      <c r="F394" s="514" t="s">
        <v>153</v>
      </c>
      <c r="G394" s="323">
        <f>G395</f>
        <v>0</v>
      </c>
      <c r="H394" s="323">
        <v>0</v>
      </c>
    </row>
    <row r="395" spans="1:8" s="180" customFormat="1" ht="27" hidden="1" customHeight="1">
      <c r="A395" s="106" t="s">
        <v>205</v>
      </c>
      <c r="B395" s="567" t="s">
        <v>719</v>
      </c>
      <c r="C395" s="514" t="s">
        <v>202</v>
      </c>
      <c r="D395" s="514" t="s">
        <v>82</v>
      </c>
      <c r="E395" s="514" t="s">
        <v>154</v>
      </c>
      <c r="F395" s="514" t="s">
        <v>153</v>
      </c>
      <c r="G395" s="323">
        <f>'пр.7 2024г'!G536</f>
        <v>0</v>
      </c>
      <c r="H395" s="323">
        <v>0</v>
      </c>
    </row>
    <row r="396" spans="1:8" ht="51">
      <c r="A396" s="107" t="s">
        <v>497</v>
      </c>
      <c r="B396" s="514" t="s">
        <v>716</v>
      </c>
      <c r="C396" s="567"/>
      <c r="D396" s="514" t="s">
        <v>82</v>
      </c>
      <c r="E396" s="514" t="s">
        <v>154</v>
      </c>
      <c r="F396" s="514" t="s">
        <v>153</v>
      </c>
      <c r="G396" s="323">
        <f>G398+G397</f>
        <v>623</v>
      </c>
      <c r="H396" s="323">
        <f>H397</f>
        <v>623</v>
      </c>
    </row>
    <row r="397" spans="1:8">
      <c r="A397" s="106" t="s">
        <v>378</v>
      </c>
      <c r="B397" s="514" t="s">
        <v>716</v>
      </c>
      <c r="C397" s="567">
        <v>612</v>
      </c>
      <c r="D397" s="514" t="s">
        <v>82</v>
      </c>
      <c r="E397" s="514" t="s">
        <v>154</v>
      </c>
      <c r="F397" s="514" t="s">
        <v>152</v>
      </c>
      <c r="G397" s="323">
        <f>'пр.7 2024г'!G467</f>
        <v>623</v>
      </c>
      <c r="H397" s="323">
        <f>G397</f>
        <v>623</v>
      </c>
    </row>
    <row r="398" spans="1:8" hidden="1">
      <c r="A398" s="106" t="s">
        <v>378</v>
      </c>
      <c r="B398" s="514" t="s">
        <v>716</v>
      </c>
      <c r="C398" s="567">
        <v>612</v>
      </c>
      <c r="D398" s="514" t="s">
        <v>82</v>
      </c>
      <c r="E398" s="514" t="s">
        <v>154</v>
      </c>
      <c r="F398" s="514" t="s">
        <v>153</v>
      </c>
      <c r="G398" s="323">
        <f>'пр.7 2024г'!G538</f>
        <v>0</v>
      </c>
      <c r="H398" s="323">
        <f>G398</f>
        <v>0</v>
      </c>
    </row>
    <row r="399" spans="1:8" ht="63.75" hidden="1">
      <c r="A399" s="107" t="s">
        <v>498</v>
      </c>
      <c r="B399" s="514" t="s">
        <v>716</v>
      </c>
      <c r="C399" s="567"/>
      <c r="D399" s="514" t="s">
        <v>82</v>
      </c>
      <c r="E399" s="514" t="s">
        <v>154</v>
      </c>
      <c r="F399" s="514" t="s">
        <v>153</v>
      </c>
      <c r="G399" s="323">
        <f>G400</f>
        <v>0</v>
      </c>
      <c r="H399" s="323">
        <v>0</v>
      </c>
    </row>
    <row r="400" spans="1:8" hidden="1">
      <c r="A400" s="106" t="s">
        <v>378</v>
      </c>
      <c r="B400" s="514" t="s">
        <v>716</v>
      </c>
      <c r="C400" s="567">
        <v>612</v>
      </c>
      <c r="D400" s="514" t="s">
        <v>82</v>
      </c>
      <c r="E400" s="514" t="s">
        <v>154</v>
      </c>
      <c r="F400" s="514" t="s">
        <v>153</v>
      </c>
      <c r="G400" s="323">
        <f>'пр.7 2024г'!G540</f>
        <v>0</v>
      </c>
      <c r="H400" s="323">
        <v>0</v>
      </c>
    </row>
    <row r="401" spans="1:10">
      <c r="A401" s="106" t="s">
        <v>378</v>
      </c>
      <c r="B401" s="514" t="s">
        <v>716</v>
      </c>
      <c r="C401" s="567">
        <v>612</v>
      </c>
      <c r="D401" s="514" t="s">
        <v>82</v>
      </c>
      <c r="E401" s="514" t="s">
        <v>154</v>
      </c>
      <c r="F401" s="514" t="s">
        <v>152</v>
      </c>
      <c r="G401" s="323">
        <f>'пр.7 2024г'!G469</f>
        <v>12.28</v>
      </c>
      <c r="H401" s="323">
        <v>0</v>
      </c>
    </row>
    <row r="402" spans="1:10" ht="25.5">
      <c r="A402" s="1" t="s">
        <v>763</v>
      </c>
      <c r="B402" s="567" t="s">
        <v>719</v>
      </c>
      <c r="C402" s="567"/>
      <c r="D402" s="514" t="s">
        <v>82</v>
      </c>
      <c r="E402" s="514" t="s">
        <v>154</v>
      </c>
      <c r="F402" s="514" t="s">
        <v>156</v>
      </c>
      <c r="G402" s="323">
        <f>G403</f>
        <v>322.68</v>
      </c>
      <c r="H402" s="323">
        <v>0</v>
      </c>
    </row>
    <row r="403" spans="1:10" ht="25.5">
      <c r="A403" s="263" t="s">
        <v>779</v>
      </c>
      <c r="B403" s="567" t="s">
        <v>719</v>
      </c>
      <c r="C403" s="567">
        <v>112</v>
      </c>
      <c r="D403" s="514" t="s">
        <v>82</v>
      </c>
      <c r="E403" s="514" t="s">
        <v>154</v>
      </c>
      <c r="F403" s="514" t="s">
        <v>156</v>
      </c>
      <c r="G403" s="323">
        <f>'пр.7 2024г'!G669</f>
        <v>322.68</v>
      </c>
      <c r="H403" s="323">
        <v>0</v>
      </c>
    </row>
    <row r="404" spans="1:10" ht="38.25">
      <c r="A404" s="388" t="s">
        <v>346</v>
      </c>
      <c r="B404" s="530" t="s">
        <v>675</v>
      </c>
      <c r="C404" s="389"/>
      <c r="D404" s="100" t="s">
        <v>82</v>
      </c>
      <c r="E404" s="100" t="s">
        <v>154</v>
      </c>
      <c r="F404" s="100" t="s">
        <v>156</v>
      </c>
      <c r="G404" s="390">
        <f>G405</f>
        <v>400</v>
      </c>
      <c r="H404" s="390">
        <f>H405</f>
        <v>0</v>
      </c>
    </row>
    <row r="405" spans="1:10" ht="38.25">
      <c r="A405" s="388" t="s">
        <v>604</v>
      </c>
      <c r="B405" s="530" t="s">
        <v>674</v>
      </c>
      <c r="C405" s="389"/>
      <c r="D405" s="100" t="s">
        <v>82</v>
      </c>
      <c r="E405" s="100" t="s">
        <v>154</v>
      </c>
      <c r="F405" s="100" t="s">
        <v>156</v>
      </c>
      <c r="G405" s="390">
        <f>G407+G406</f>
        <v>400</v>
      </c>
      <c r="H405" s="390">
        <v>0</v>
      </c>
    </row>
    <row r="406" spans="1:10" ht="25.5" hidden="1">
      <c r="A406" s="492" t="s">
        <v>317</v>
      </c>
      <c r="B406" s="92" t="s">
        <v>674</v>
      </c>
      <c r="C406" s="567">
        <v>242</v>
      </c>
      <c r="D406" s="100" t="s">
        <v>82</v>
      </c>
      <c r="E406" s="100" t="s">
        <v>154</v>
      </c>
      <c r="F406" s="100" t="s">
        <v>156</v>
      </c>
      <c r="G406" s="706">
        <f>'пр.7 2024г'!G625</f>
        <v>0</v>
      </c>
      <c r="H406" s="390"/>
    </row>
    <row r="407" spans="1:10" ht="38.25">
      <c r="A407" s="531" t="s">
        <v>209</v>
      </c>
      <c r="B407" s="92" t="s">
        <v>674</v>
      </c>
      <c r="C407" s="92" t="s">
        <v>312</v>
      </c>
      <c r="D407" s="100" t="s">
        <v>82</v>
      </c>
      <c r="E407" s="100" t="s">
        <v>154</v>
      </c>
      <c r="F407" s="100" t="s">
        <v>156</v>
      </c>
      <c r="G407" s="325">
        <f>'пр.7 2024г'!G626</f>
        <v>400</v>
      </c>
      <c r="H407" s="325">
        <v>0</v>
      </c>
    </row>
    <row r="408" spans="1:10" ht="38.25">
      <c r="A408" s="532" t="s">
        <v>1007</v>
      </c>
      <c r="B408" s="504" t="s">
        <v>607</v>
      </c>
      <c r="C408" s="283"/>
      <c r="D408" s="100" t="s">
        <v>82</v>
      </c>
      <c r="E408" s="100" t="s">
        <v>154</v>
      </c>
      <c r="F408" s="100" t="s">
        <v>156</v>
      </c>
      <c r="G408" s="533">
        <f>G409</f>
        <v>41367.401960000003</v>
      </c>
      <c r="H408" s="533">
        <f t="shared" ref="H408" si="41">H409</f>
        <v>28368.566340000001</v>
      </c>
      <c r="I408" s="484" t="e">
        <f>#REF!-#REF!</f>
        <v>#REF!</v>
      </c>
    </row>
    <row r="409" spans="1:10" ht="51">
      <c r="A409" s="110" t="s">
        <v>606</v>
      </c>
      <c r="B409" s="504" t="s">
        <v>608</v>
      </c>
      <c r="C409" s="92"/>
      <c r="D409" s="100" t="s">
        <v>82</v>
      </c>
      <c r="E409" s="100" t="s">
        <v>154</v>
      </c>
      <c r="F409" s="100" t="s">
        <v>156</v>
      </c>
      <c r="G409" s="325">
        <f>G410+G416+G429+G432+G435+G438+G413+G426</f>
        <v>41367.401960000003</v>
      </c>
      <c r="H409" s="325">
        <f>H410+H416+H429+H432+H435+H438+H413+H426</f>
        <v>28368.566340000001</v>
      </c>
    </row>
    <row r="410" spans="1:10" ht="51">
      <c r="A410" s="110" t="s">
        <v>606</v>
      </c>
      <c r="B410" s="92" t="s">
        <v>610</v>
      </c>
      <c r="C410" s="114"/>
      <c r="D410" s="100" t="s">
        <v>82</v>
      </c>
      <c r="E410" s="100" t="s">
        <v>154</v>
      </c>
      <c r="F410" s="100" t="s">
        <v>156</v>
      </c>
      <c r="G410" s="325">
        <f>G411+G412</f>
        <v>1568.5862499999998</v>
      </c>
      <c r="H410" s="325">
        <v>0</v>
      </c>
    </row>
    <row r="411" spans="1:10" ht="25.5">
      <c r="A411" s="106" t="s">
        <v>324</v>
      </c>
      <c r="B411" s="92" t="s">
        <v>610</v>
      </c>
      <c r="C411" s="424">
        <v>121</v>
      </c>
      <c r="D411" s="100" t="s">
        <v>82</v>
      </c>
      <c r="E411" s="100" t="s">
        <v>154</v>
      </c>
      <c r="F411" s="100" t="s">
        <v>156</v>
      </c>
      <c r="G411" s="325">
        <f>'пр.7 2024г'!G636</f>
        <v>1204.7513699999997</v>
      </c>
      <c r="H411" s="325">
        <v>0</v>
      </c>
    </row>
    <row r="412" spans="1:10" ht="51">
      <c r="A412" s="462" t="s">
        <v>325</v>
      </c>
      <c r="B412" s="92" t="s">
        <v>610</v>
      </c>
      <c r="C412" s="424">
        <v>129</v>
      </c>
      <c r="D412" s="100" t="s">
        <v>82</v>
      </c>
      <c r="E412" s="100" t="s">
        <v>154</v>
      </c>
      <c r="F412" s="100" t="s">
        <v>156</v>
      </c>
      <c r="G412" s="325">
        <f>'пр.7 2024г'!G637</f>
        <v>363.83488</v>
      </c>
      <c r="H412" s="325">
        <v>0</v>
      </c>
    </row>
    <row r="413" spans="1:10" ht="25.5" hidden="1">
      <c r="A413" s="462" t="s">
        <v>1069</v>
      </c>
      <c r="B413" s="100" t="s">
        <v>1070</v>
      </c>
      <c r="C413" s="114"/>
      <c r="D413" s="100" t="s">
        <v>82</v>
      </c>
      <c r="E413" s="100" t="s">
        <v>154</v>
      </c>
      <c r="F413" s="100" t="s">
        <v>156</v>
      </c>
      <c r="G413" s="325">
        <f>G414+G415</f>
        <v>1448.76448</v>
      </c>
      <c r="H413" s="325">
        <f>H414+H415</f>
        <v>1448.76448</v>
      </c>
    </row>
    <row r="414" spans="1:10" ht="25.5" hidden="1">
      <c r="A414" s="106" t="s">
        <v>324</v>
      </c>
      <c r="B414" s="100" t="s">
        <v>1070</v>
      </c>
      <c r="C414" s="424">
        <v>121</v>
      </c>
      <c r="D414" s="100" t="s">
        <v>82</v>
      </c>
      <c r="E414" s="100" t="s">
        <v>154</v>
      </c>
      <c r="F414" s="100" t="s">
        <v>156</v>
      </c>
      <c r="G414" s="325">
        <f>'пр.7 2024г'!G639</f>
        <v>1112.7223300000001</v>
      </c>
      <c r="H414" s="325">
        <f>G414</f>
        <v>1112.7223300000001</v>
      </c>
    </row>
    <row r="415" spans="1:10" ht="51" hidden="1">
      <c r="A415" s="462" t="s">
        <v>325</v>
      </c>
      <c r="B415" s="100" t="s">
        <v>1070</v>
      </c>
      <c r="C415" s="424">
        <v>129</v>
      </c>
      <c r="D415" s="100" t="s">
        <v>82</v>
      </c>
      <c r="E415" s="100" t="s">
        <v>154</v>
      </c>
      <c r="F415" s="100" t="s">
        <v>156</v>
      </c>
      <c r="G415" s="325">
        <f>'пр.7 2024г'!G640</f>
        <v>336.04214999999999</v>
      </c>
      <c r="H415" s="325">
        <f>G415</f>
        <v>336.04214999999999</v>
      </c>
    </row>
    <row r="416" spans="1:10" ht="51">
      <c r="A416" s="40" t="s">
        <v>293</v>
      </c>
      <c r="B416" s="92" t="s">
        <v>634</v>
      </c>
      <c r="C416" s="114"/>
      <c r="D416" s="100" t="s">
        <v>82</v>
      </c>
      <c r="E416" s="100" t="s">
        <v>154</v>
      </c>
      <c r="F416" s="100" t="s">
        <v>156</v>
      </c>
      <c r="G416" s="325">
        <f>G417+G419+G420+G421+G422+G424+G423+G418+G425</f>
        <v>10130.969370000001</v>
      </c>
      <c r="H416" s="325">
        <v>0</v>
      </c>
      <c r="I416" s="484" t="e">
        <f>G417+G419+G420+G421+G422+G424+#REF!+G423+G418</f>
        <v>#REF!</v>
      </c>
      <c r="J416" s="484" t="e">
        <f>G417+G418+G419+G420+G421+G422+G423+G424+#REF!</f>
        <v>#REF!</v>
      </c>
    </row>
    <row r="417" spans="1:8">
      <c r="A417" s="263" t="s">
        <v>446</v>
      </c>
      <c r="B417" s="92" t="s">
        <v>634</v>
      </c>
      <c r="C417" s="514" t="s">
        <v>332</v>
      </c>
      <c r="D417" s="100" t="s">
        <v>82</v>
      </c>
      <c r="E417" s="100" t="s">
        <v>154</v>
      </c>
      <c r="F417" s="100" t="s">
        <v>156</v>
      </c>
      <c r="G417" s="325">
        <f>'пр.7 2024г'!G642</f>
        <v>3116.375</v>
      </c>
      <c r="H417" s="325">
        <v>0</v>
      </c>
    </row>
    <row r="418" spans="1:8" ht="25.5">
      <c r="A418" s="263" t="s">
        <v>779</v>
      </c>
      <c r="B418" s="92" t="s">
        <v>634</v>
      </c>
      <c r="C418" s="514" t="s">
        <v>333</v>
      </c>
      <c r="D418" s="100" t="s">
        <v>82</v>
      </c>
      <c r="E418" s="100" t="s">
        <v>154</v>
      </c>
      <c r="F418" s="100" t="s">
        <v>156</v>
      </c>
      <c r="G418" s="325">
        <f>'пр.7 2024г'!G643</f>
        <v>50</v>
      </c>
      <c r="H418" s="325">
        <v>0</v>
      </c>
    </row>
    <row r="419" spans="1:8" ht="51" hidden="1">
      <c r="A419" s="263" t="s">
        <v>529</v>
      </c>
      <c r="B419" s="92" t="s">
        <v>634</v>
      </c>
      <c r="C419" s="514" t="s">
        <v>528</v>
      </c>
      <c r="D419" s="100" t="s">
        <v>82</v>
      </c>
      <c r="E419" s="100" t="s">
        <v>154</v>
      </c>
      <c r="F419" s="100" t="s">
        <v>156</v>
      </c>
      <c r="G419" s="325">
        <f>'пр.7 2024г'!G644</f>
        <v>0</v>
      </c>
      <c r="H419" s="325">
        <v>0</v>
      </c>
    </row>
    <row r="420" spans="1:8" ht="51">
      <c r="A420" s="263" t="s">
        <v>447</v>
      </c>
      <c r="B420" s="92" t="s">
        <v>634</v>
      </c>
      <c r="C420" s="514" t="s">
        <v>334</v>
      </c>
      <c r="D420" s="100" t="s">
        <v>82</v>
      </c>
      <c r="E420" s="100" t="s">
        <v>154</v>
      </c>
      <c r="F420" s="100" t="s">
        <v>156</v>
      </c>
      <c r="G420" s="325">
        <f>'пр.7 2024г'!G645</f>
        <v>941.14536999999984</v>
      </c>
      <c r="H420" s="325">
        <v>0</v>
      </c>
    </row>
    <row r="421" spans="1:8" ht="25.5">
      <c r="A421" s="492" t="s">
        <v>317</v>
      </c>
      <c r="B421" s="92" t="s">
        <v>634</v>
      </c>
      <c r="C421" s="514" t="s">
        <v>318</v>
      </c>
      <c r="D421" s="100" t="s">
        <v>82</v>
      </c>
      <c r="E421" s="100" t="s">
        <v>154</v>
      </c>
      <c r="F421" s="100" t="s">
        <v>156</v>
      </c>
      <c r="G421" s="325">
        <f>'пр.7 2024г'!G646</f>
        <v>1856.6</v>
      </c>
      <c r="H421" s="325">
        <v>0</v>
      </c>
    </row>
    <row r="422" spans="1:8" ht="38.25">
      <c r="A422" s="110" t="s">
        <v>209</v>
      </c>
      <c r="B422" s="92" t="s">
        <v>634</v>
      </c>
      <c r="C422" s="514" t="s">
        <v>312</v>
      </c>
      <c r="D422" s="100" t="s">
        <v>82</v>
      </c>
      <c r="E422" s="100" t="s">
        <v>154</v>
      </c>
      <c r="F422" s="100" t="s">
        <v>156</v>
      </c>
      <c r="G422" s="325">
        <f>'пр.7 2024г'!G647</f>
        <v>3528.2489999999998</v>
      </c>
      <c r="H422" s="325">
        <v>0</v>
      </c>
    </row>
    <row r="423" spans="1:8">
      <c r="A423" s="110" t="s">
        <v>745</v>
      </c>
      <c r="B423" s="92" t="s">
        <v>634</v>
      </c>
      <c r="C423" s="514" t="s">
        <v>744</v>
      </c>
      <c r="D423" s="100" t="s">
        <v>82</v>
      </c>
      <c r="E423" s="100" t="s">
        <v>154</v>
      </c>
      <c r="F423" s="100" t="s">
        <v>156</v>
      </c>
      <c r="G423" s="325">
        <f>'пр.7 2024г'!G648</f>
        <v>618.6</v>
      </c>
      <c r="H423" s="325">
        <v>0</v>
      </c>
    </row>
    <row r="424" spans="1:8" ht="25.5" hidden="1">
      <c r="A424" s="106" t="s">
        <v>314</v>
      </c>
      <c r="B424" s="92" t="s">
        <v>634</v>
      </c>
      <c r="C424" s="282">
        <v>851</v>
      </c>
      <c r="D424" s="100" t="s">
        <v>82</v>
      </c>
      <c r="E424" s="100" t="s">
        <v>154</v>
      </c>
      <c r="F424" s="100" t="s">
        <v>156</v>
      </c>
      <c r="G424" s="325">
        <f>'пр.7 2024г'!G649</f>
        <v>0</v>
      </c>
      <c r="H424" s="325">
        <v>0</v>
      </c>
    </row>
    <row r="425" spans="1:8">
      <c r="A425" s="106" t="s">
        <v>210</v>
      </c>
      <c r="B425" s="92" t="s">
        <v>634</v>
      </c>
      <c r="C425" s="282">
        <v>852</v>
      </c>
      <c r="D425" s="100" t="s">
        <v>82</v>
      </c>
      <c r="E425" s="100" t="s">
        <v>154</v>
      </c>
      <c r="F425" s="100" t="s">
        <v>156</v>
      </c>
      <c r="G425" s="325">
        <f>'пр.7 2024г'!G650</f>
        <v>20</v>
      </c>
      <c r="H425" s="325"/>
    </row>
    <row r="426" spans="1:8" ht="25.5" hidden="1">
      <c r="A426" s="462" t="s">
        <v>1069</v>
      </c>
      <c r="B426" s="100" t="s">
        <v>1070</v>
      </c>
      <c r="C426" s="114"/>
      <c r="D426" s="100" t="s">
        <v>82</v>
      </c>
      <c r="E426" s="100" t="s">
        <v>154</v>
      </c>
      <c r="F426" s="100" t="s">
        <v>156</v>
      </c>
      <c r="G426" s="325">
        <f>G427+G428</f>
        <v>0</v>
      </c>
      <c r="H426" s="325">
        <f>H427+H428</f>
        <v>0</v>
      </c>
    </row>
    <row r="427" spans="1:8" hidden="1">
      <c r="A427" s="263" t="s">
        <v>446</v>
      </c>
      <c r="B427" s="100" t="s">
        <v>1070</v>
      </c>
      <c r="C427" s="424">
        <v>111</v>
      </c>
      <c r="D427" s="100" t="s">
        <v>82</v>
      </c>
      <c r="E427" s="100" t="s">
        <v>154</v>
      </c>
      <c r="F427" s="100" t="s">
        <v>156</v>
      </c>
      <c r="G427" s="325">
        <f>'пр.7 2024г'!G652</f>
        <v>0</v>
      </c>
      <c r="H427" s="325">
        <f>G427</f>
        <v>0</v>
      </c>
    </row>
    <row r="428" spans="1:8" ht="51" hidden="1">
      <c r="A428" s="263" t="s">
        <v>447</v>
      </c>
      <c r="B428" s="100" t="s">
        <v>1070</v>
      </c>
      <c r="C428" s="424">
        <v>119</v>
      </c>
      <c r="D428" s="100" t="s">
        <v>82</v>
      </c>
      <c r="E428" s="100" t="s">
        <v>154</v>
      </c>
      <c r="F428" s="100" t="s">
        <v>156</v>
      </c>
      <c r="G428" s="325">
        <f>'пр.7 2024г'!G653</f>
        <v>0</v>
      </c>
      <c r="H428" s="325">
        <f>G428</f>
        <v>0</v>
      </c>
    </row>
    <row r="429" spans="1:8" ht="38.25">
      <c r="A429" s="106" t="s">
        <v>335</v>
      </c>
      <c r="B429" s="92" t="s">
        <v>635</v>
      </c>
      <c r="C429" s="282"/>
      <c r="D429" s="100" t="s">
        <v>82</v>
      </c>
      <c r="E429" s="100" t="s">
        <v>154</v>
      </c>
      <c r="F429" s="100" t="s">
        <v>156</v>
      </c>
      <c r="G429" s="325">
        <f>G430+G431</f>
        <v>48.7</v>
      </c>
      <c r="H429" s="325">
        <f t="shared" ref="H429" si="42">H430+H431</f>
        <v>48.7</v>
      </c>
    </row>
    <row r="430" spans="1:8">
      <c r="A430" s="263" t="s">
        <v>446</v>
      </c>
      <c r="B430" s="92" t="s">
        <v>635</v>
      </c>
      <c r="C430" s="282">
        <v>111</v>
      </c>
      <c r="D430" s="100" t="s">
        <v>82</v>
      </c>
      <c r="E430" s="100" t="s">
        <v>154</v>
      </c>
      <c r="F430" s="100" t="s">
        <v>156</v>
      </c>
      <c r="G430" s="325">
        <f>'пр.7 2024г'!G655</f>
        <v>37.40399</v>
      </c>
      <c r="H430" s="325">
        <f>G430</f>
        <v>37.40399</v>
      </c>
    </row>
    <row r="431" spans="1:8" ht="51">
      <c r="A431" s="263" t="s">
        <v>447</v>
      </c>
      <c r="B431" s="92" t="s">
        <v>635</v>
      </c>
      <c r="C431" s="282">
        <v>119</v>
      </c>
      <c r="D431" s="100" t="s">
        <v>82</v>
      </c>
      <c r="E431" s="100" t="s">
        <v>154</v>
      </c>
      <c r="F431" s="100" t="s">
        <v>156</v>
      </c>
      <c r="G431" s="325">
        <f>'пр.7 2024г'!G656</f>
        <v>11.296010000000001</v>
      </c>
      <c r="H431" s="325">
        <f>G431</f>
        <v>11.296010000000001</v>
      </c>
    </row>
    <row r="432" spans="1:8" ht="102">
      <c r="A432" s="40" t="s">
        <v>411</v>
      </c>
      <c r="B432" s="92" t="s">
        <v>636</v>
      </c>
      <c r="C432" s="114"/>
      <c r="D432" s="100" t="s">
        <v>82</v>
      </c>
      <c r="E432" s="100" t="s">
        <v>154</v>
      </c>
      <c r="F432" s="100" t="s">
        <v>156</v>
      </c>
      <c r="G432" s="325">
        <f>G433+G434</f>
        <v>87.1</v>
      </c>
      <c r="H432" s="325">
        <f>H433+H434</f>
        <v>87.1</v>
      </c>
    </row>
    <row r="433" spans="1:8">
      <c r="A433" s="263" t="s">
        <v>446</v>
      </c>
      <c r="B433" s="92" t="s">
        <v>636</v>
      </c>
      <c r="C433" s="92" t="s">
        <v>332</v>
      </c>
      <c r="D433" s="100" t="s">
        <v>82</v>
      </c>
      <c r="E433" s="100" t="s">
        <v>154</v>
      </c>
      <c r="F433" s="100" t="s">
        <v>156</v>
      </c>
      <c r="G433" s="325">
        <f>'пр.7 2024г'!G658</f>
        <v>66.897080000000003</v>
      </c>
      <c r="H433" s="325">
        <f>G433</f>
        <v>66.897080000000003</v>
      </c>
    </row>
    <row r="434" spans="1:8" ht="51">
      <c r="A434" s="263" t="s">
        <v>447</v>
      </c>
      <c r="B434" s="92" t="s">
        <v>636</v>
      </c>
      <c r="C434" s="92" t="s">
        <v>334</v>
      </c>
      <c r="D434" s="100" t="s">
        <v>82</v>
      </c>
      <c r="E434" s="100" t="s">
        <v>154</v>
      </c>
      <c r="F434" s="100" t="s">
        <v>156</v>
      </c>
      <c r="G434" s="325">
        <f>'пр.7 2024г'!G659</f>
        <v>20.202919999999999</v>
      </c>
      <c r="H434" s="325">
        <f>G434</f>
        <v>20.202919999999999</v>
      </c>
    </row>
    <row r="435" spans="1:8" ht="76.5" hidden="1">
      <c r="A435" s="483" t="s">
        <v>570</v>
      </c>
      <c r="B435" s="92" t="s">
        <v>637</v>
      </c>
      <c r="C435" s="114"/>
      <c r="D435" s="100" t="s">
        <v>82</v>
      </c>
      <c r="E435" s="100" t="s">
        <v>154</v>
      </c>
      <c r="F435" s="100" t="s">
        <v>156</v>
      </c>
      <c r="G435" s="325">
        <f>G436+G437</f>
        <v>26784.00186</v>
      </c>
      <c r="H435" s="325">
        <f t="shared" ref="H435" si="43">H436+H437</f>
        <v>26784.00186</v>
      </c>
    </row>
    <row r="436" spans="1:8" hidden="1">
      <c r="A436" s="263" t="s">
        <v>446</v>
      </c>
      <c r="B436" s="92" t="s">
        <v>637</v>
      </c>
      <c r="C436" s="92" t="s">
        <v>332</v>
      </c>
      <c r="D436" s="100" t="s">
        <v>82</v>
      </c>
      <c r="E436" s="100" t="s">
        <v>154</v>
      </c>
      <c r="F436" s="100" t="s">
        <v>156</v>
      </c>
      <c r="G436" s="325">
        <f>'пр.7 2024г'!G661</f>
        <v>20571.43</v>
      </c>
      <c r="H436" s="325">
        <f>G436</f>
        <v>20571.43</v>
      </c>
    </row>
    <row r="437" spans="1:8" ht="51" hidden="1">
      <c r="A437" s="109" t="s">
        <v>447</v>
      </c>
      <c r="B437" s="92" t="s">
        <v>637</v>
      </c>
      <c r="C437" s="92" t="s">
        <v>334</v>
      </c>
      <c r="D437" s="100" t="s">
        <v>82</v>
      </c>
      <c r="E437" s="100" t="s">
        <v>154</v>
      </c>
      <c r="F437" s="100" t="s">
        <v>156</v>
      </c>
      <c r="G437" s="325">
        <f>'пр.7 2024г'!G662</f>
        <v>6212.57186</v>
      </c>
      <c r="H437" s="325">
        <f>G437</f>
        <v>6212.57186</v>
      </c>
    </row>
    <row r="438" spans="1:8" ht="89.25" hidden="1">
      <c r="A438" s="483" t="s">
        <v>571</v>
      </c>
      <c r="B438" s="92" t="s">
        <v>637</v>
      </c>
      <c r="C438" s="114"/>
      <c r="D438" s="100" t="s">
        <v>82</v>
      </c>
      <c r="E438" s="100" t="s">
        <v>154</v>
      </c>
      <c r="F438" s="100" t="s">
        <v>156</v>
      </c>
      <c r="G438" s="325">
        <f>G439+G440</f>
        <v>1299.28</v>
      </c>
      <c r="H438" s="325">
        <f t="shared" ref="H438" si="44">H439+H440</f>
        <v>0</v>
      </c>
    </row>
    <row r="439" spans="1:8" hidden="1">
      <c r="A439" s="106" t="s">
        <v>446</v>
      </c>
      <c r="B439" s="92" t="s">
        <v>637</v>
      </c>
      <c r="C439" s="92" t="s">
        <v>332</v>
      </c>
      <c r="D439" s="100" t="s">
        <v>82</v>
      </c>
      <c r="E439" s="100" t="s">
        <v>154</v>
      </c>
      <c r="F439" s="100" t="s">
        <v>156</v>
      </c>
      <c r="G439" s="325">
        <f>'пр.7 2024г'!G664</f>
        <v>997.91099999999994</v>
      </c>
      <c r="H439" s="325">
        <v>0</v>
      </c>
    </row>
    <row r="440" spans="1:8" ht="51" hidden="1">
      <c r="A440" s="109" t="s">
        <v>447</v>
      </c>
      <c r="B440" s="92" t="s">
        <v>637</v>
      </c>
      <c r="C440" s="92" t="s">
        <v>334</v>
      </c>
      <c r="D440" s="100" t="s">
        <v>82</v>
      </c>
      <c r="E440" s="100" t="s">
        <v>154</v>
      </c>
      <c r="F440" s="100" t="s">
        <v>156</v>
      </c>
      <c r="G440" s="325">
        <f>'пр.7 2024г'!G665</f>
        <v>301.36900000000003</v>
      </c>
      <c r="H440" s="325">
        <v>0</v>
      </c>
    </row>
    <row r="441" spans="1:8" ht="38.25">
      <c r="A441" s="382" t="s">
        <v>1114</v>
      </c>
      <c r="B441" s="500" t="s">
        <v>548</v>
      </c>
      <c r="C441" s="303"/>
      <c r="D441" s="303" t="s">
        <v>140</v>
      </c>
      <c r="E441" s="303"/>
      <c r="F441" s="303"/>
      <c r="G441" s="501">
        <f>G442</f>
        <v>159.7116</v>
      </c>
      <c r="H441" s="501">
        <v>0</v>
      </c>
    </row>
    <row r="442" spans="1:8" ht="25.5">
      <c r="A442" s="106" t="s">
        <v>651</v>
      </c>
      <c r="B442" s="100" t="s">
        <v>548</v>
      </c>
      <c r="C442" s="92"/>
      <c r="D442" s="100" t="s">
        <v>140</v>
      </c>
      <c r="E442" s="100" t="s">
        <v>165</v>
      </c>
      <c r="F442" s="100" t="s">
        <v>155</v>
      </c>
      <c r="G442" s="116">
        <f>G443</f>
        <v>159.7116</v>
      </c>
      <c r="H442" s="116">
        <v>0</v>
      </c>
    </row>
    <row r="443" spans="1:8">
      <c r="A443" s="106" t="s">
        <v>310</v>
      </c>
      <c r="B443" s="100" t="s">
        <v>548</v>
      </c>
      <c r="C443" s="92" t="s">
        <v>321</v>
      </c>
      <c r="D443" s="100" t="s">
        <v>140</v>
      </c>
      <c r="E443" s="100" t="s">
        <v>165</v>
      </c>
      <c r="F443" s="100" t="s">
        <v>155</v>
      </c>
      <c r="G443" s="116">
        <f>'пр.7 2024г'!G397</f>
        <v>159.7116</v>
      </c>
      <c r="H443" s="116">
        <v>0</v>
      </c>
    </row>
    <row r="444" spans="1:8" ht="38.25">
      <c r="A444" s="382" t="s">
        <v>791</v>
      </c>
      <c r="B444" s="459" t="s">
        <v>471</v>
      </c>
      <c r="C444" s="194"/>
      <c r="D444" s="194" t="s">
        <v>140</v>
      </c>
      <c r="E444" s="194"/>
      <c r="F444" s="194"/>
      <c r="G444" s="288">
        <f>G445</f>
        <v>9751.1082999999981</v>
      </c>
      <c r="H444" s="288">
        <f>H445</f>
        <v>9739.1999999999989</v>
      </c>
    </row>
    <row r="445" spans="1:8" ht="51">
      <c r="A445" s="176" t="s">
        <v>652</v>
      </c>
      <c r="B445" s="540"/>
      <c r="C445" s="425"/>
      <c r="D445" s="514" t="s">
        <v>140</v>
      </c>
      <c r="E445" s="514" t="s">
        <v>165</v>
      </c>
      <c r="F445" s="514" t="s">
        <v>155</v>
      </c>
      <c r="G445" s="426">
        <f>G446+G448</f>
        <v>9751.1082999999981</v>
      </c>
      <c r="H445" s="426">
        <f t="shared" ref="H445" si="45">H446+H448</f>
        <v>9739.1999999999989</v>
      </c>
    </row>
    <row r="446" spans="1:8" ht="51">
      <c r="A446" s="106" t="s">
        <v>794</v>
      </c>
      <c r="B446" s="459" t="s">
        <v>471</v>
      </c>
      <c r="C446" s="280"/>
      <c r="D446" s="100" t="s">
        <v>140</v>
      </c>
      <c r="E446" s="100" t="s">
        <v>165</v>
      </c>
      <c r="F446" s="100" t="s">
        <v>155</v>
      </c>
      <c r="G446" s="289">
        <f>G447</f>
        <v>9739.1999999999989</v>
      </c>
      <c r="H446" s="289">
        <f>H447</f>
        <v>9739.1999999999989</v>
      </c>
    </row>
    <row r="447" spans="1:8">
      <c r="A447" s="106" t="s">
        <v>310</v>
      </c>
      <c r="B447" s="459" t="s">
        <v>471</v>
      </c>
      <c r="C447" s="92" t="s">
        <v>321</v>
      </c>
      <c r="D447" s="100" t="s">
        <v>140</v>
      </c>
      <c r="E447" s="100" t="s">
        <v>165</v>
      </c>
      <c r="F447" s="100" t="s">
        <v>155</v>
      </c>
      <c r="G447" s="116">
        <f>'пр.7 2024г'!G392</f>
        <v>9739.1999999999989</v>
      </c>
      <c r="H447" s="116">
        <f>G447</f>
        <v>9739.1999999999989</v>
      </c>
    </row>
    <row r="448" spans="1:8" ht="51">
      <c r="A448" s="106" t="s">
        <v>795</v>
      </c>
      <c r="B448" s="459" t="s">
        <v>471</v>
      </c>
      <c r="C448" s="92"/>
      <c r="D448" s="100" t="s">
        <v>140</v>
      </c>
      <c r="E448" s="100" t="s">
        <v>165</v>
      </c>
      <c r="F448" s="100" t="s">
        <v>155</v>
      </c>
      <c r="G448" s="116">
        <f>G449</f>
        <v>11.908300000000001</v>
      </c>
      <c r="H448" s="116">
        <v>0</v>
      </c>
    </row>
    <row r="449" spans="1:8">
      <c r="A449" s="106" t="s">
        <v>310</v>
      </c>
      <c r="B449" s="459" t="s">
        <v>471</v>
      </c>
      <c r="C449" s="92" t="s">
        <v>321</v>
      </c>
      <c r="D449" s="100" t="s">
        <v>140</v>
      </c>
      <c r="E449" s="100" t="s">
        <v>165</v>
      </c>
      <c r="F449" s="100" t="s">
        <v>155</v>
      </c>
      <c r="G449" s="116">
        <f>'пр.7 2024г'!G394</f>
        <v>11.908300000000001</v>
      </c>
      <c r="H449" s="116">
        <v>0</v>
      </c>
    </row>
    <row r="450" spans="1:8" ht="38.25">
      <c r="A450" s="113" t="s">
        <v>949</v>
      </c>
      <c r="B450" s="502" t="s">
        <v>679</v>
      </c>
      <c r="C450" s="502"/>
      <c r="D450" s="502" t="s">
        <v>831</v>
      </c>
      <c r="E450" s="502"/>
      <c r="F450" s="502"/>
      <c r="G450" s="503">
        <f>G451</f>
        <v>86642.54</v>
      </c>
      <c r="H450" s="503">
        <f>H451</f>
        <v>69820.399999999994</v>
      </c>
    </row>
    <row r="451" spans="1:8" ht="76.5">
      <c r="A451" s="216" t="s">
        <v>643</v>
      </c>
      <c r="B451" s="504" t="s">
        <v>679</v>
      </c>
      <c r="C451" s="504"/>
      <c r="D451" s="504"/>
      <c r="E451" s="504"/>
      <c r="F451" s="504"/>
      <c r="G451" s="505">
        <f>G453+G454+G456+G457+G461+G469+G465+G467+G471+G463+G459+G452+G477+G473+G475+G455</f>
        <v>86642.54</v>
      </c>
      <c r="H451" s="505">
        <f>H453+H454+H456+H457+H461+H469+H465+H467+H471+H463+H459+H452+H477+H473+H475+H455</f>
        <v>69820.399999999994</v>
      </c>
    </row>
    <row r="452" spans="1:8" ht="51" hidden="1">
      <c r="A452" s="263" t="s">
        <v>529</v>
      </c>
      <c r="B452" s="504" t="s">
        <v>550</v>
      </c>
      <c r="C452" s="504" t="s">
        <v>528</v>
      </c>
      <c r="D452" s="504" t="s">
        <v>82</v>
      </c>
      <c r="E452" s="504" t="s">
        <v>154</v>
      </c>
      <c r="F452" s="504" t="s">
        <v>156</v>
      </c>
      <c r="G452" s="505">
        <f>'пр.7 2024г'!G629</f>
        <v>0</v>
      </c>
      <c r="H452" s="505"/>
    </row>
    <row r="453" spans="1:8" ht="38.25" hidden="1">
      <c r="A453" s="110" t="s">
        <v>209</v>
      </c>
      <c r="B453" s="504" t="s">
        <v>550</v>
      </c>
      <c r="C453" s="504" t="s">
        <v>312</v>
      </c>
      <c r="D453" s="504" t="s">
        <v>82</v>
      </c>
      <c r="E453" s="504" t="s">
        <v>154</v>
      </c>
      <c r="F453" s="504" t="s">
        <v>156</v>
      </c>
      <c r="G453" s="506">
        <f>'пр.7 2024г'!G630</f>
        <v>0</v>
      </c>
      <c r="H453" s="117">
        <v>0</v>
      </c>
    </row>
    <row r="454" spans="1:8" ht="38.25">
      <c r="A454" s="110" t="s">
        <v>209</v>
      </c>
      <c r="B454" s="504" t="s">
        <v>550</v>
      </c>
      <c r="C454" s="504" t="s">
        <v>312</v>
      </c>
      <c r="D454" s="504" t="s">
        <v>457</v>
      </c>
      <c r="E454" s="504" t="s">
        <v>161</v>
      </c>
      <c r="F454" s="504" t="s">
        <v>156</v>
      </c>
      <c r="G454" s="506">
        <f>'пр.7 2024г'!G682</f>
        <v>8865.2880000000005</v>
      </c>
      <c r="H454" s="117">
        <v>0</v>
      </c>
    </row>
    <row r="455" spans="1:8" ht="38.25">
      <c r="A455" s="110" t="s">
        <v>523</v>
      </c>
      <c r="B455" s="504" t="s">
        <v>550</v>
      </c>
      <c r="C455" s="504" t="s">
        <v>71</v>
      </c>
      <c r="D455" s="504" t="s">
        <v>457</v>
      </c>
      <c r="E455" s="504" t="s">
        <v>161</v>
      </c>
      <c r="F455" s="504" t="s">
        <v>156</v>
      </c>
      <c r="G455" s="506">
        <f>'пр.7 2024г'!G683</f>
        <v>3720</v>
      </c>
      <c r="H455" s="117">
        <v>0</v>
      </c>
    </row>
    <row r="456" spans="1:8">
      <c r="A456" s="106" t="s">
        <v>310</v>
      </c>
      <c r="B456" s="504" t="s">
        <v>550</v>
      </c>
      <c r="C456" s="504" t="s">
        <v>321</v>
      </c>
      <c r="D456" s="504" t="s">
        <v>140</v>
      </c>
      <c r="E456" s="504" t="s">
        <v>165</v>
      </c>
      <c r="F456" s="504" t="s">
        <v>155</v>
      </c>
      <c r="G456" s="506">
        <f>'пр.7 2024г'!G418</f>
        <v>4236.8519999999999</v>
      </c>
      <c r="H456" s="117">
        <v>0</v>
      </c>
    </row>
    <row r="457" spans="1:8" ht="89.25">
      <c r="A457" s="713" t="s">
        <v>1038</v>
      </c>
      <c r="B457" s="92" t="s">
        <v>1043</v>
      </c>
      <c r="C457" s="504"/>
      <c r="D457" s="504" t="s">
        <v>457</v>
      </c>
      <c r="E457" s="504" t="s">
        <v>161</v>
      </c>
      <c r="F457" s="504" t="s">
        <v>156</v>
      </c>
      <c r="G457" s="506">
        <f>G458</f>
        <v>2887.3</v>
      </c>
      <c r="H457" s="117">
        <f>H458</f>
        <v>2887.3</v>
      </c>
    </row>
    <row r="458" spans="1:8" ht="38.25">
      <c r="A458" s="110" t="s">
        <v>209</v>
      </c>
      <c r="B458" s="92" t="s">
        <v>1043</v>
      </c>
      <c r="C458" s="504" t="s">
        <v>312</v>
      </c>
      <c r="D458" s="504" t="s">
        <v>457</v>
      </c>
      <c r="E458" s="504" t="s">
        <v>161</v>
      </c>
      <c r="F458" s="504" t="s">
        <v>156</v>
      </c>
      <c r="G458" s="506">
        <f>'пр.7 2024г'!G689</f>
        <v>2887.3</v>
      </c>
      <c r="H458" s="117">
        <f>G458</f>
        <v>2887.3</v>
      </c>
    </row>
    <row r="459" spans="1:8" ht="102" hidden="1">
      <c r="A459" s="713" t="s">
        <v>1053</v>
      </c>
      <c r="B459" s="92" t="s">
        <v>1043</v>
      </c>
      <c r="C459" s="504"/>
      <c r="D459" s="504" t="s">
        <v>457</v>
      </c>
      <c r="E459" s="504" t="s">
        <v>161</v>
      </c>
      <c r="F459" s="504" t="s">
        <v>156</v>
      </c>
      <c r="G459" s="506">
        <f>G460</f>
        <v>0</v>
      </c>
      <c r="H459" s="117"/>
    </row>
    <row r="460" spans="1:8" ht="38.25" hidden="1">
      <c r="A460" s="110" t="s">
        <v>209</v>
      </c>
      <c r="B460" s="92" t="s">
        <v>1043</v>
      </c>
      <c r="C460" s="504" t="s">
        <v>312</v>
      </c>
      <c r="D460" s="504" t="s">
        <v>457</v>
      </c>
      <c r="E460" s="504" t="s">
        <v>161</v>
      </c>
      <c r="F460" s="504" t="s">
        <v>156</v>
      </c>
      <c r="G460" s="506">
        <f>'пр.7 2024г'!G691</f>
        <v>0</v>
      </c>
      <c r="H460" s="117"/>
    </row>
    <row r="461" spans="1:8" ht="51">
      <c r="A461" s="216" t="s">
        <v>547</v>
      </c>
      <c r="B461" s="92" t="s">
        <v>893</v>
      </c>
      <c r="C461" s="504"/>
      <c r="D461" s="504" t="s">
        <v>457</v>
      </c>
      <c r="E461" s="504" t="s">
        <v>161</v>
      </c>
      <c r="F461" s="504" t="s">
        <v>156</v>
      </c>
      <c r="G461" s="506">
        <f>G462</f>
        <v>50606.6</v>
      </c>
      <c r="H461" s="117">
        <f>H462</f>
        <v>50606.6</v>
      </c>
    </row>
    <row r="462" spans="1:8" ht="38.25">
      <c r="A462" s="110" t="s">
        <v>209</v>
      </c>
      <c r="B462" s="92" t="s">
        <v>893</v>
      </c>
      <c r="C462" s="504" t="s">
        <v>312</v>
      </c>
      <c r="D462" s="504" t="s">
        <v>457</v>
      </c>
      <c r="E462" s="504" t="s">
        <v>161</v>
      </c>
      <c r="F462" s="504" t="s">
        <v>156</v>
      </c>
      <c r="G462" s="506">
        <f>'пр.7 2024г'!G685</f>
        <v>50606.6</v>
      </c>
      <c r="H462" s="117">
        <f>G462</f>
        <v>50606.6</v>
      </c>
    </row>
    <row r="463" spans="1:8" ht="63.75" hidden="1">
      <c r="A463" s="216" t="s">
        <v>894</v>
      </c>
      <c r="B463" s="92" t="s">
        <v>893</v>
      </c>
      <c r="C463" s="504"/>
      <c r="D463" s="504" t="s">
        <v>457</v>
      </c>
      <c r="E463" s="504" t="s">
        <v>161</v>
      </c>
      <c r="F463" s="504" t="s">
        <v>156</v>
      </c>
      <c r="G463" s="506">
        <f>G464</f>
        <v>0</v>
      </c>
      <c r="H463" s="117"/>
    </row>
    <row r="464" spans="1:8" ht="38.25" hidden="1">
      <c r="A464" s="110" t="s">
        <v>209</v>
      </c>
      <c r="B464" s="92" t="s">
        <v>893</v>
      </c>
      <c r="C464" s="504" t="s">
        <v>312</v>
      </c>
      <c r="D464" s="504" t="s">
        <v>457</v>
      </c>
      <c r="E464" s="504" t="s">
        <v>161</v>
      </c>
      <c r="F464" s="504" t="s">
        <v>156</v>
      </c>
      <c r="G464" s="506">
        <f>'пр.7 2024г'!G687</f>
        <v>0</v>
      </c>
      <c r="H464" s="117"/>
    </row>
    <row r="465" spans="1:8" ht="51" hidden="1">
      <c r="A465" s="216" t="s">
        <v>547</v>
      </c>
      <c r="B465" s="92" t="s">
        <v>893</v>
      </c>
      <c r="C465" s="504"/>
      <c r="D465" s="504" t="s">
        <v>140</v>
      </c>
      <c r="E465" s="504" t="s">
        <v>165</v>
      </c>
      <c r="F465" s="504" t="s">
        <v>155</v>
      </c>
      <c r="G465" s="506">
        <f>G466</f>
        <v>0</v>
      </c>
      <c r="H465" s="117">
        <f>H466</f>
        <v>0</v>
      </c>
    </row>
    <row r="466" spans="1:8" hidden="1">
      <c r="A466" s="106" t="s">
        <v>310</v>
      </c>
      <c r="B466" s="92" t="s">
        <v>893</v>
      </c>
      <c r="C466" s="504" t="s">
        <v>321</v>
      </c>
      <c r="D466" s="504" t="s">
        <v>140</v>
      </c>
      <c r="E466" s="504" t="s">
        <v>165</v>
      </c>
      <c r="F466" s="504" t="s">
        <v>155</v>
      </c>
      <c r="G466" s="506">
        <f>'пр.7 2024г'!G420</f>
        <v>0</v>
      </c>
      <c r="H466" s="117">
        <f>G466</f>
        <v>0</v>
      </c>
    </row>
    <row r="467" spans="1:8" ht="63.75" hidden="1">
      <c r="A467" s="110" t="s">
        <v>894</v>
      </c>
      <c r="B467" s="92" t="s">
        <v>893</v>
      </c>
      <c r="C467" s="504"/>
      <c r="D467" s="504" t="s">
        <v>140</v>
      </c>
      <c r="E467" s="504" t="s">
        <v>165</v>
      </c>
      <c r="F467" s="504" t="s">
        <v>155</v>
      </c>
      <c r="G467" s="506">
        <f>G468</f>
        <v>0</v>
      </c>
      <c r="H467" s="117">
        <v>0</v>
      </c>
    </row>
    <row r="468" spans="1:8" hidden="1">
      <c r="A468" s="106" t="s">
        <v>310</v>
      </c>
      <c r="B468" s="92" t="s">
        <v>893</v>
      </c>
      <c r="C468" s="504" t="s">
        <v>321</v>
      </c>
      <c r="D468" s="504" t="s">
        <v>140</v>
      </c>
      <c r="E468" s="504" t="s">
        <v>165</v>
      </c>
      <c r="F468" s="504" t="s">
        <v>155</v>
      </c>
      <c r="G468" s="506">
        <f>'пр.7 2024г'!G422</f>
        <v>0</v>
      </c>
      <c r="H468" s="117">
        <v>0</v>
      </c>
    </row>
    <row r="469" spans="1:8" ht="51" hidden="1">
      <c r="A469" s="110" t="s">
        <v>876</v>
      </c>
      <c r="B469" s="92" t="s">
        <v>877</v>
      </c>
      <c r="C469" s="504"/>
      <c r="D469" s="504" t="s">
        <v>457</v>
      </c>
      <c r="E469" s="504" t="s">
        <v>161</v>
      </c>
      <c r="F469" s="504" t="s">
        <v>156</v>
      </c>
      <c r="G469" s="506">
        <f>G470</f>
        <v>0</v>
      </c>
      <c r="H469" s="117">
        <f>H470</f>
        <v>0</v>
      </c>
    </row>
    <row r="470" spans="1:8" ht="38.25" hidden="1">
      <c r="A470" s="110" t="s">
        <v>209</v>
      </c>
      <c r="B470" s="92" t="s">
        <v>877</v>
      </c>
      <c r="C470" s="504" t="s">
        <v>312</v>
      </c>
      <c r="D470" s="504" t="s">
        <v>457</v>
      </c>
      <c r="E470" s="504" t="s">
        <v>161</v>
      </c>
      <c r="F470" s="504" t="s">
        <v>156</v>
      </c>
      <c r="G470" s="506">
        <v>0</v>
      </c>
      <c r="H470" s="117">
        <f>G470</f>
        <v>0</v>
      </c>
    </row>
    <row r="471" spans="1:8" ht="51" hidden="1">
      <c r="A471" s="110" t="s">
        <v>876</v>
      </c>
      <c r="B471" s="92" t="s">
        <v>877</v>
      </c>
      <c r="C471" s="504"/>
      <c r="D471" s="504" t="s">
        <v>140</v>
      </c>
      <c r="E471" s="504" t="s">
        <v>165</v>
      </c>
      <c r="F471" s="504" t="s">
        <v>155</v>
      </c>
      <c r="G471" s="506">
        <f>G472</f>
        <v>0</v>
      </c>
      <c r="H471" s="117">
        <f>H472</f>
        <v>0</v>
      </c>
    </row>
    <row r="472" spans="1:8" hidden="1">
      <c r="A472" s="106" t="s">
        <v>310</v>
      </c>
      <c r="B472" s="92" t="s">
        <v>877</v>
      </c>
      <c r="C472" s="504" t="s">
        <v>321</v>
      </c>
      <c r="D472" s="504" t="s">
        <v>140</v>
      </c>
      <c r="E472" s="504" t="s">
        <v>165</v>
      </c>
      <c r="F472" s="504" t="s">
        <v>155</v>
      </c>
      <c r="G472" s="506">
        <f>'пр.7 2024г'!G424</f>
        <v>0</v>
      </c>
      <c r="H472" s="117">
        <f>G472</f>
        <v>0</v>
      </c>
    </row>
    <row r="473" spans="1:8" ht="63.75" hidden="1">
      <c r="A473" s="106" t="s">
        <v>1061</v>
      </c>
      <c r="B473" s="92" t="s">
        <v>877</v>
      </c>
      <c r="C473" s="504"/>
      <c r="D473" s="504" t="s">
        <v>140</v>
      </c>
      <c r="E473" s="504" t="s">
        <v>165</v>
      </c>
      <c r="F473" s="504" t="s">
        <v>155</v>
      </c>
      <c r="G473" s="506">
        <f>G474</f>
        <v>0</v>
      </c>
      <c r="H473" s="117"/>
    </row>
    <row r="474" spans="1:8" hidden="1">
      <c r="A474" s="714" t="s">
        <v>310</v>
      </c>
      <c r="B474" s="92" t="s">
        <v>877</v>
      </c>
      <c r="C474" s="504" t="s">
        <v>321</v>
      </c>
      <c r="D474" s="504" t="s">
        <v>140</v>
      </c>
      <c r="E474" s="504" t="s">
        <v>165</v>
      </c>
      <c r="F474" s="504" t="s">
        <v>155</v>
      </c>
      <c r="G474" s="506">
        <f>'пр.7 2024г'!G426</f>
        <v>0</v>
      </c>
      <c r="H474" s="117"/>
    </row>
    <row r="475" spans="1:8" ht="63.75">
      <c r="A475" s="106" t="s">
        <v>1060</v>
      </c>
      <c r="B475" s="92" t="s">
        <v>1059</v>
      </c>
      <c r="C475" s="504"/>
      <c r="D475" s="504" t="s">
        <v>140</v>
      </c>
      <c r="E475" s="504"/>
      <c r="F475" s="504"/>
      <c r="G475" s="506">
        <f>G476</f>
        <v>16326.5</v>
      </c>
      <c r="H475" s="117">
        <f>H476</f>
        <v>16326.5</v>
      </c>
    </row>
    <row r="476" spans="1:8">
      <c r="A476" s="714" t="s">
        <v>310</v>
      </c>
      <c r="B476" s="92" t="s">
        <v>1059</v>
      </c>
      <c r="C476" s="504" t="s">
        <v>312</v>
      </c>
      <c r="D476" s="504" t="s">
        <v>140</v>
      </c>
      <c r="E476" s="504" t="s">
        <v>161</v>
      </c>
      <c r="F476" s="504" t="s">
        <v>156</v>
      </c>
      <c r="G476" s="506">
        <f>'пр.7 2024г'!G693</f>
        <v>16326.5</v>
      </c>
      <c r="H476" s="117">
        <f>G476</f>
        <v>16326.5</v>
      </c>
    </row>
    <row r="477" spans="1:8" ht="63.75" hidden="1">
      <c r="A477" s="106" t="s">
        <v>1060</v>
      </c>
      <c r="B477" s="92" t="s">
        <v>1059</v>
      </c>
      <c r="C477" s="504"/>
      <c r="D477" s="504" t="s">
        <v>140</v>
      </c>
      <c r="E477" s="504" t="s">
        <v>165</v>
      </c>
      <c r="F477" s="504" t="s">
        <v>155</v>
      </c>
      <c r="G477" s="506">
        <f>G478</f>
        <v>0</v>
      </c>
      <c r="H477" s="117">
        <f>H478</f>
        <v>0</v>
      </c>
    </row>
    <row r="478" spans="1:8" hidden="1">
      <c r="A478" s="714" t="s">
        <v>310</v>
      </c>
      <c r="B478" s="92" t="s">
        <v>1059</v>
      </c>
      <c r="C478" s="504" t="s">
        <v>321</v>
      </c>
      <c r="D478" s="504" t="s">
        <v>140</v>
      </c>
      <c r="E478" s="504" t="s">
        <v>165</v>
      </c>
      <c r="F478" s="504" t="s">
        <v>155</v>
      </c>
      <c r="G478" s="506">
        <f>'пр.7 2024г'!G428</f>
        <v>0</v>
      </c>
      <c r="H478" s="117">
        <f>G478</f>
        <v>0</v>
      </c>
    </row>
    <row r="479" spans="1:8" ht="57.75" customHeight="1">
      <c r="A479" s="509" t="s">
        <v>950</v>
      </c>
      <c r="B479" s="303" t="s">
        <v>626</v>
      </c>
      <c r="C479" s="510"/>
      <c r="D479" s="510" t="s">
        <v>140</v>
      </c>
      <c r="E479" s="510"/>
      <c r="F479" s="510"/>
      <c r="G479" s="511">
        <f>G480</f>
        <v>20</v>
      </c>
      <c r="H479" s="288">
        <v>0</v>
      </c>
    </row>
    <row r="480" spans="1:8" ht="25.5" customHeight="1">
      <c r="A480" s="534" t="s">
        <v>648</v>
      </c>
      <c r="B480" s="522" t="s">
        <v>680</v>
      </c>
      <c r="C480" s="504"/>
      <c r="D480" s="504" t="s">
        <v>140</v>
      </c>
      <c r="E480" s="504" t="s">
        <v>157</v>
      </c>
      <c r="F480" s="504" t="s">
        <v>155</v>
      </c>
      <c r="G480" s="506">
        <f>G481</f>
        <v>20</v>
      </c>
      <c r="H480" s="117">
        <v>0</v>
      </c>
    </row>
    <row r="481" spans="1:8" ht="33.75" customHeight="1">
      <c r="A481" s="110" t="s">
        <v>209</v>
      </c>
      <c r="B481" s="514" t="s">
        <v>680</v>
      </c>
      <c r="C481" s="504" t="s">
        <v>312</v>
      </c>
      <c r="D481" s="504" t="s">
        <v>140</v>
      </c>
      <c r="E481" s="504" t="s">
        <v>157</v>
      </c>
      <c r="F481" s="504" t="s">
        <v>155</v>
      </c>
      <c r="G481" s="506">
        <f>'пр.7 2024г'!G303</f>
        <v>20</v>
      </c>
      <c r="H481" s="117">
        <v>0</v>
      </c>
    </row>
    <row r="482" spans="1:8" ht="53.25" customHeight="1">
      <c r="A482" s="587" t="s">
        <v>1115</v>
      </c>
      <c r="B482" s="303" t="s">
        <v>762</v>
      </c>
      <c r="C482" s="510"/>
      <c r="D482" s="510" t="s">
        <v>82</v>
      </c>
      <c r="E482" s="510"/>
      <c r="F482" s="510"/>
      <c r="G482" s="511">
        <f>G483</f>
        <v>59.422110000000004</v>
      </c>
      <c r="H482" s="288">
        <v>0</v>
      </c>
    </row>
    <row r="483" spans="1:8" ht="27.75" customHeight="1">
      <c r="A483" s="586" t="s">
        <v>761</v>
      </c>
      <c r="B483" s="514" t="s">
        <v>762</v>
      </c>
      <c r="C483" s="504"/>
      <c r="D483" s="504" t="s">
        <v>82</v>
      </c>
      <c r="E483" s="504" t="s">
        <v>154</v>
      </c>
      <c r="F483" s="504" t="s">
        <v>153</v>
      </c>
      <c r="G483" s="506">
        <f>G484</f>
        <v>59.422110000000004</v>
      </c>
      <c r="H483" s="117">
        <v>0</v>
      </c>
    </row>
    <row r="484" spans="1:8" ht="28.5" customHeight="1">
      <c r="A484" s="106" t="s">
        <v>378</v>
      </c>
      <c r="B484" s="514" t="s">
        <v>762</v>
      </c>
      <c r="C484" s="504" t="s">
        <v>202</v>
      </c>
      <c r="D484" s="504" t="s">
        <v>82</v>
      </c>
      <c r="E484" s="504" t="s">
        <v>154</v>
      </c>
      <c r="F484" s="504" t="s">
        <v>153</v>
      </c>
      <c r="G484" s="506">
        <f>'пр.7 2024г'!G543</f>
        <v>59.422110000000004</v>
      </c>
      <c r="H484" s="117">
        <v>0</v>
      </c>
    </row>
    <row r="485" spans="1:8" ht="38.25">
      <c r="A485" s="382" t="s">
        <v>1116</v>
      </c>
      <c r="B485" s="598" t="s">
        <v>783</v>
      </c>
      <c r="C485" s="510"/>
      <c r="D485" s="510" t="s">
        <v>572</v>
      </c>
      <c r="E485" s="510"/>
      <c r="F485" s="510"/>
      <c r="G485" s="511">
        <f>G486</f>
        <v>880.70600000000002</v>
      </c>
      <c r="H485" s="288">
        <v>0</v>
      </c>
    </row>
    <row r="486" spans="1:8" ht="38.25">
      <c r="A486" s="21" t="s">
        <v>786</v>
      </c>
      <c r="B486" s="379" t="s">
        <v>784</v>
      </c>
      <c r="C486" s="504"/>
      <c r="D486" s="504"/>
      <c r="E486" s="504"/>
      <c r="F486" s="504"/>
      <c r="G486" s="506">
        <f>G488+G489+G490+G491+G493+G487+G492</f>
        <v>880.70600000000002</v>
      </c>
      <c r="H486" s="117">
        <v>0</v>
      </c>
    </row>
    <row r="487" spans="1:8" ht="38.25" hidden="1">
      <c r="A487" s="110" t="s">
        <v>209</v>
      </c>
      <c r="B487" s="379" t="s">
        <v>784</v>
      </c>
      <c r="C487" s="504" t="s">
        <v>312</v>
      </c>
      <c r="D487" s="504" t="s">
        <v>140</v>
      </c>
      <c r="E487" s="504" t="s">
        <v>161</v>
      </c>
      <c r="F487" s="504" t="s">
        <v>159</v>
      </c>
      <c r="G487" s="506">
        <f>'пр.7 2024г'!G207</f>
        <v>0</v>
      </c>
      <c r="H487" s="117"/>
    </row>
    <row r="488" spans="1:8" hidden="1">
      <c r="A488" s="106" t="s">
        <v>378</v>
      </c>
      <c r="B488" s="379" t="s">
        <v>784</v>
      </c>
      <c r="C488" s="504" t="s">
        <v>202</v>
      </c>
      <c r="D488" s="504" t="s">
        <v>82</v>
      </c>
      <c r="E488" s="504" t="s">
        <v>154</v>
      </c>
      <c r="F488" s="504" t="s">
        <v>152</v>
      </c>
      <c r="G488" s="506">
        <f>'пр.7 2024г'!G472</f>
        <v>0</v>
      </c>
      <c r="H488" s="117">
        <v>0</v>
      </c>
    </row>
    <row r="489" spans="1:8" hidden="1">
      <c r="A489" s="107" t="s">
        <v>269</v>
      </c>
      <c r="B489" s="379" t="s">
        <v>784</v>
      </c>
      <c r="C489" s="504" t="s">
        <v>270</v>
      </c>
      <c r="D489" s="504" t="s">
        <v>82</v>
      </c>
      <c r="E489" s="504" t="s">
        <v>154</v>
      </c>
      <c r="F489" s="504" t="s">
        <v>152</v>
      </c>
      <c r="G489" s="506">
        <f>'пр.7 2024г'!G473</f>
        <v>0</v>
      </c>
      <c r="H489" s="117">
        <v>0</v>
      </c>
    </row>
    <row r="490" spans="1:8">
      <c r="A490" s="106" t="s">
        <v>378</v>
      </c>
      <c r="B490" s="379" t="s">
        <v>784</v>
      </c>
      <c r="C490" s="504" t="s">
        <v>202</v>
      </c>
      <c r="D490" s="504" t="s">
        <v>82</v>
      </c>
      <c r="E490" s="504" t="s">
        <v>154</v>
      </c>
      <c r="F490" s="504" t="s">
        <v>153</v>
      </c>
      <c r="G490" s="506">
        <f>'пр.7 2024г'!G546</f>
        <v>880.70600000000002</v>
      </c>
      <c r="H490" s="117">
        <v>0</v>
      </c>
    </row>
    <row r="491" spans="1:8" hidden="1">
      <c r="A491" s="106" t="s">
        <v>378</v>
      </c>
      <c r="B491" s="379" t="s">
        <v>784</v>
      </c>
      <c r="C491" s="504" t="s">
        <v>202</v>
      </c>
      <c r="D491" s="504" t="s">
        <v>82</v>
      </c>
      <c r="E491" s="504" t="s">
        <v>154</v>
      </c>
      <c r="F491" s="504" t="s">
        <v>155</v>
      </c>
      <c r="G491" s="506">
        <f>'пр.7 2024г'!G578</f>
        <v>0</v>
      </c>
      <c r="H491" s="117">
        <v>0</v>
      </c>
    </row>
    <row r="492" spans="1:8" hidden="1">
      <c r="A492" s="107" t="s">
        <v>269</v>
      </c>
      <c r="B492" s="379" t="s">
        <v>784</v>
      </c>
      <c r="C492" s="504" t="s">
        <v>270</v>
      </c>
      <c r="D492" s="504" t="s">
        <v>140</v>
      </c>
      <c r="E492" s="504" t="s">
        <v>154</v>
      </c>
      <c r="F492" s="504" t="s">
        <v>155</v>
      </c>
      <c r="G492" s="506">
        <f>'пр.7 2024г'!G578</f>
        <v>0</v>
      </c>
      <c r="H492" s="117"/>
    </row>
    <row r="493" spans="1:8" hidden="1">
      <c r="A493" s="107" t="s">
        <v>269</v>
      </c>
      <c r="B493" s="379" t="s">
        <v>784</v>
      </c>
      <c r="C493" s="504" t="s">
        <v>270</v>
      </c>
      <c r="D493" s="504" t="s">
        <v>82</v>
      </c>
      <c r="E493" s="504" t="s">
        <v>154</v>
      </c>
      <c r="F493" s="504" t="s">
        <v>154</v>
      </c>
      <c r="G493" s="506">
        <f>'пр.7 2024г'!G606</f>
        <v>0</v>
      </c>
      <c r="H493" s="117">
        <v>0</v>
      </c>
    </row>
    <row r="494" spans="1:8" ht="38.25">
      <c r="A494" s="382" t="s">
        <v>909</v>
      </c>
      <c r="B494" s="684" t="s">
        <v>907</v>
      </c>
      <c r="C494" s="510"/>
      <c r="D494" s="510" t="s">
        <v>82</v>
      </c>
      <c r="E494" s="510"/>
      <c r="F494" s="510"/>
      <c r="G494" s="511">
        <f>G495</f>
        <v>300</v>
      </c>
      <c r="H494" s="117">
        <v>0</v>
      </c>
    </row>
    <row r="495" spans="1:8" ht="63.75">
      <c r="A495" s="699" t="s">
        <v>910</v>
      </c>
      <c r="B495" s="379" t="s">
        <v>907</v>
      </c>
      <c r="C495" s="504"/>
      <c r="D495" s="504" t="s">
        <v>82</v>
      </c>
      <c r="E495" s="504"/>
      <c r="F495" s="504"/>
      <c r="G495" s="506">
        <f>G496</f>
        <v>300</v>
      </c>
      <c r="H495" s="117">
        <v>0</v>
      </c>
    </row>
    <row r="496" spans="1:8" ht="63.75">
      <c r="A496" s="699" t="s">
        <v>994</v>
      </c>
      <c r="B496" s="379" t="s">
        <v>908</v>
      </c>
      <c r="C496" s="504"/>
      <c r="D496" s="504" t="s">
        <v>82</v>
      </c>
      <c r="E496" s="504" t="s">
        <v>154</v>
      </c>
      <c r="F496" s="504" t="s">
        <v>156</v>
      </c>
      <c r="G496" s="506">
        <f>G497+G498+G499</f>
        <v>300</v>
      </c>
      <c r="H496" s="117">
        <v>0</v>
      </c>
    </row>
    <row r="497" spans="1:9" ht="38.25" hidden="1">
      <c r="A497" s="110" t="s">
        <v>209</v>
      </c>
      <c r="B497" s="379" t="s">
        <v>908</v>
      </c>
      <c r="C497" s="504" t="s">
        <v>312</v>
      </c>
      <c r="D497" s="504" t="s">
        <v>82</v>
      </c>
      <c r="E497" s="504" t="s">
        <v>154</v>
      </c>
      <c r="F497" s="504" t="s">
        <v>156</v>
      </c>
      <c r="G497" s="506">
        <f>'пр.7 2024г'!G614</f>
        <v>0</v>
      </c>
      <c r="H497" s="117"/>
    </row>
    <row r="498" spans="1:9" hidden="1">
      <c r="A498" s="106" t="s">
        <v>378</v>
      </c>
      <c r="B498" s="379" t="s">
        <v>908</v>
      </c>
      <c r="C498" s="504" t="s">
        <v>202</v>
      </c>
      <c r="D498" s="504" t="s">
        <v>82</v>
      </c>
      <c r="E498" s="504" t="s">
        <v>154</v>
      </c>
      <c r="F498" s="504" t="s">
        <v>152</v>
      </c>
      <c r="G498" s="506">
        <f>'пр.7 2024г'!G477</f>
        <v>0</v>
      </c>
      <c r="H498" s="117"/>
    </row>
    <row r="499" spans="1:9">
      <c r="A499" s="106" t="s">
        <v>378</v>
      </c>
      <c r="B499" s="379" t="s">
        <v>908</v>
      </c>
      <c r="C499" s="504" t="s">
        <v>202</v>
      </c>
      <c r="D499" s="504" t="s">
        <v>82</v>
      </c>
      <c r="E499" s="504" t="s">
        <v>154</v>
      </c>
      <c r="F499" s="504" t="s">
        <v>153</v>
      </c>
      <c r="G499" s="506">
        <f>'пр.7 2024г'!G550</f>
        <v>300</v>
      </c>
      <c r="H499" s="117">
        <v>0</v>
      </c>
    </row>
    <row r="500" spans="1:9" ht="38.25">
      <c r="A500" s="807" t="s">
        <v>1253</v>
      </c>
      <c r="B500" s="808" t="s">
        <v>1255</v>
      </c>
      <c r="C500" s="809"/>
      <c r="D500" s="303" t="s">
        <v>140</v>
      </c>
      <c r="E500" s="303" t="s">
        <v>156</v>
      </c>
      <c r="F500" s="810" t="s">
        <v>156</v>
      </c>
      <c r="G500" s="768">
        <f>G501</f>
        <v>0</v>
      </c>
      <c r="H500" s="501">
        <v>0</v>
      </c>
    </row>
    <row r="501" spans="1:9" ht="51">
      <c r="A501" s="800" t="s">
        <v>1254</v>
      </c>
      <c r="B501" s="796" t="s">
        <v>1256</v>
      </c>
      <c r="C501" s="504"/>
      <c r="D501" s="92" t="s">
        <v>140</v>
      </c>
      <c r="E501" s="92" t="s">
        <v>156</v>
      </c>
      <c r="F501" s="92" t="s">
        <v>156</v>
      </c>
      <c r="G501" s="506">
        <f>G502</f>
        <v>0</v>
      </c>
      <c r="H501" s="117">
        <v>0</v>
      </c>
    </row>
    <row r="502" spans="1:9" ht="38.25">
      <c r="A502" s="110" t="s">
        <v>209</v>
      </c>
      <c r="B502" s="796" t="s">
        <v>1256</v>
      </c>
      <c r="C502" s="504" t="s">
        <v>312</v>
      </c>
      <c r="D502" s="92" t="s">
        <v>140</v>
      </c>
      <c r="E502" s="92" t="s">
        <v>156</v>
      </c>
      <c r="F502" s="92" t="s">
        <v>156</v>
      </c>
      <c r="G502" s="506">
        <v>0</v>
      </c>
      <c r="H502" s="117">
        <v>0</v>
      </c>
    </row>
    <row r="503" spans="1:9" ht="15.75">
      <c r="A503" s="295" t="s">
        <v>99</v>
      </c>
      <c r="B503" s="588"/>
      <c r="C503" s="178"/>
      <c r="D503" s="178"/>
      <c r="E503" s="178"/>
      <c r="F503" s="178"/>
      <c r="G503" s="288">
        <f>G11+G14+G30+G53+G56+G83+G168+G184+G205+G220+G235+G275+G284+G441+G444+G450+G479+G482+G494+G485+G500</f>
        <v>2084737.3999299998</v>
      </c>
      <c r="H503" s="288">
        <f>H11+H14+H30+H53+H56+H83+H168+H184+H205+H220+H235+H275+H284+H441+H444+H450+H479+H482+H485</f>
        <v>1664859.3</v>
      </c>
      <c r="I503" s="484">
        <f>G503-'пр.7 2024г'!G754</f>
        <v>2084737.3999299998</v>
      </c>
    </row>
    <row r="504" spans="1:9">
      <c r="A504" s="293"/>
      <c r="B504" s="291"/>
      <c r="C504" s="292"/>
      <c r="D504" s="292"/>
      <c r="E504" s="292"/>
      <c r="F504" s="292"/>
      <c r="G504" s="328"/>
      <c r="H504" s="328"/>
    </row>
    <row r="505" spans="1:9">
      <c r="A505" s="293"/>
      <c r="B505" s="291"/>
      <c r="C505" s="291"/>
      <c r="D505" s="292"/>
      <c r="E505" s="292"/>
      <c r="F505" s="292"/>
      <c r="G505" s="328">
        <f>'пр.7 2024г'!G760</f>
        <v>2097503.0170000005</v>
      </c>
      <c r="H505" s="328"/>
    </row>
    <row r="506" spans="1:9">
      <c r="A506" s="294"/>
      <c r="B506" s="287"/>
      <c r="C506" s="287"/>
      <c r="D506" s="287"/>
      <c r="E506" s="287"/>
      <c r="F506" s="287"/>
      <c r="G506" s="329">
        <f>G505-G503</f>
        <v>12765.617070000619</v>
      </c>
      <c r="H506" s="329"/>
    </row>
    <row r="507" spans="1:9">
      <c r="A507" s="294"/>
      <c r="B507" s="287"/>
      <c r="C507" s="287"/>
      <c r="D507" s="287"/>
      <c r="E507" s="287"/>
      <c r="F507" s="287"/>
      <c r="G507" s="329"/>
      <c r="H507" s="329"/>
    </row>
    <row r="509" spans="1:9">
      <c r="G509" s="320">
        <f>'пр.7 2024г'!G13</f>
        <v>6297.3220000000001</v>
      </c>
      <c r="H509" s="484" t="s">
        <v>966</v>
      </c>
    </row>
    <row r="510" spans="1:9">
      <c r="G510" s="320">
        <f>'пр.7 2024г'!G72</f>
        <v>12.99507</v>
      </c>
    </row>
    <row r="511" spans="1:9">
      <c r="G511" s="320">
        <f>'пр.7 2024г'!G133</f>
        <v>500</v>
      </c>
      <c r="H511" s="484" t="s">
        <v>964</v>
      </c>
    </row>
    <row r="512" spans="1:9">
      <c r="G512" s="320">
        <f>'пр.7 2024г'!G175</f>
        <v>150</v>
      </c>
      <c r="H512" s="484" t="s">
        <v>965</v>
      </c>
    </row>
    <row r="513" spans="7:8">
      <c r="G513" s="320">
        <f>'пр.7 2024г'!G289</f>
        <v>5100</v>
      </c>
      <c r="H513" s="484" t="s">
        <v>963</v>
      </c>
    </row>
    <row r="514" spans="7:8">
      <c r="G514" s="320">
        <f>'пр.7 2024г'!G130+'пр.7 2024г'!G373</f>
        <v>0</v>
      </c>
      <c r="H514" s="484" t="s">
        <v>967</v>
      </c>
    </row>
    <row r="515" spans="7:8">
      <c r="G515" s="320">
        <f>'пр.7 2024г'!G746</f>
        <v>545.29999999999995</v>
      </c>
      <c r="H515" s="484" t="s">
        <v>968</v>
      </c>
    </row>
    <row r="516" spans="7:8">
      <c r="G516" s="320">
        <f>'пр.7 2024г'!G292</f>
        <v>150</v>
      </c>
      <c r="H516" s="484" t="s">
        <v>1167</v>
      </c>
    </row>
    <row r="517" spans="7:8">
      <c r="G517" s="320">
        <f>'пр.7 2024г'!G375</f>
        <v>0</v>
      </c>
      <c r="H517" s="484"/>
    </row>
    <row r="518" spans="7:8">
      <c r="G518" s="320">
        <f>'пр.7 2024г'!G748</f>
        <v>0</v>
      </c>
      <c r="H518" s="484"/>
    </row>
    <row r="519" spans="7:8">
      <c r="G519" s="320">
        <f>G509+G510+G511+G512+G513+G514+G515+G516+G517+G518</f>
        <v>12755.61707</v>
      </c>
      <c r="H519" s="484"/>
    </row>
    <row r="520" spans="7:8">
      <c r="H520" s="484"/>
    </row>
    <row r="521" spans="7:8">
      <c r="G521" s="320">
        <f>G506-G519</f>
        <v>10.000000000618456</v>
      </c>
      <c r="H521" s="484"/>
    </row>
    <row r="537" spans="7:7">
      <c r="G537" s="320">
        <f>G538+G539+G542+G545+G550+G548</f>
        <v>1141.30789</v>
      </c>
    </row>
    <row r="538" spans="7:7">
      <c r="G538" s="320">
        <f>507.662+38.08+63+2.55294+530.01295</f>
        <v>1141.30789</v>
      </c>
    </row>
    <row r="659" spans="7:7">
      <c r="G659" s="320">
        <f>G660+G661+G662+G663</f>
        <v>0</v>
      </c>
    </row>
    <row r="669" spans="7:7" ht="23.25" customHeight="1"/>
  </sheetData>
  <autoFilter ref="A10:H503"/>
  <mergeCells count="2">
    <mergeCell ref="A8:G8"/>
    <mergeCell ref="E7:G7"/>
  </mergeCells>
  <pageMargins left="0.70866141732283472" right="0.70866141732283472" top="0.74803149606299213" bottom="0.74803149606299213" header="0.31496062992125984" footer="0.31496062992125984"/>
  <pageSetup paperSize="9" scale="54" fitToWidth="6" fitToHeight="9" orientation="portrait" r:id="rId1"/>
  <rowBreaks count="5" manualBreakCount="5">
    <brk id="39" max="7" man="1"/>
    <brk id="169" max="7" man="1"/>
    <brk id="204" max="7" man="1"/>
    <brk id="234" max="7" man="1"/>
    <brk id="274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I298"/>
  <sheetViews>
    <sheetView view="pageBreakPreview" topLeftCell="A282" zoomScale="90" zoomScaleSheetLayoutView="90" workbookViewId="0">
      <selection activeCell="H297" sqref="H297"/>
    </sheetView>
  </sheetViews>
  <sheetFormatPr defaultRowHeight="12.75"/>
  <cols>
    <col min="1" max="1" width="44.28515625" style="66" customWidth="1"/>
    <col min="2" max="2" width="13.85546875" style="136" customWidth="1"/>
    <col min="3" max="3" width="9.140625" style="136"/>
    <col min="4" max="4" width="9" style="136" customWidth="1"/>
    <col min="5" max="5" width="9.140625" style="136" customWidth="1"/>
    <col min="6" max="6" width="9.5703125" style="136" customWidth="1"/>
    <col min="7" max="7" width="17.5703125" style="320" customWidth="1"/>
    <col min="8" max="8" width="21.140625" style="320" customWidth="1"/>
    <col min="9" max="9" width="21.140625" style="121" customWidth="1"/>
    <col min="10" max="10" width="15.42578125" customWidth="1"/>
    <col min="11" max="11" width="21.5703125" customWidth="1"/>
    <col min="12" max="12" width="13.42578125" customWidth="1"/>
  </cols>
  <sheetData>
    <row r="1" spans="1:9">
      <c r="D1" s="338"/>
      <c r="E1" s="338"/>
      <c r="F1" s="338"/>
      <c r="G1" s="338" t="s">
        <v>355</v>
      </c>
      <c r="H1" s="338"/>
    </row>
    <row r="2" spans="1:9">
      <c r="D2" s="338"/>
      <c r="E2" s="338"/>
      <c r="F2" s="338"/>
      <c r="G2" s="338" t="s">
        <v>141</v>
      </c>
      <c r="H2" s="338"/>
    </row>
    <row r="3" spans="1:9">
      <c r="D3" s="338"/>
      <c r="E3" s="338"/>
      <c r="F3" s="338"/>
      <c r="G3" s="338" t="s">
        <v>240</v>
      </c>
      <c r="H3" s="338"/>
    </row>
    <row r="4" spans="1:9">
      <c r="D4" s="519"/>
      <c r="E4" s="519"/>
      <c r="F4" s="519"/>
      <c r="G4" s="519" t="s">
        <v>104</v>
      </c>
      <c r="H4" s="519"/>
    </row>
    <row r="5" spans="1:9">
      <c r="D5" s="519"/>
      <c r="E5" s="519"/>
      <c r="F5" s="519"/>
      <c r="G5" s="519" t="s">
        <v>241</v>
      </c>
      <c r="H5" s="519"/>
    </row>
    <row r="6" spans="1:9">
      <c r="D6" s="519"/>
      <c r="E6" s="519"/>
      <c r="F6" s="519"/>
      <c r="G6" s="765" t="s">
        <v>1187</v>
      </c>
      <c r="H6" s="519"/>
    </row>
    <row r="7" spans="1:9">
      <c r="D7" s="521"/>
      <c r="E7" s="521"/>
      <c r="F7" s="868" t="s">
        <v>1210</v>
      </c>
      <c r="G7" s="868"/>
      <c r="H7" s="521"/>
    </row>
    <row r="8" spans="1:9" ht="31.5" customHeight="1">
      <c r="A8" s="866" t="s">
        <v>1118</v>
      </c>
      <c r="B8" s="867"/>
      <c r="C8" s="867"/>
      <c r="D8" s="867"/>
      <c r="E8" s="867"/>
      <c r="F8" s="867"/>
      <c r="G8" s="867"/>
    </row>
    <row r="9" spans="1:9">
      <c r="G9" s="321" t="s">
        <v>73</v>
      </c>
      <c r="H9" s="321" t="s">
        <v>73</v>
      </c>
    </row>
    <row r="10" spans="1:9" s="112" customFormat="1" ht="25.5">
      <c r="A10" s="518" t="s">
        <v>146</v>
      </c>
      <c r="B10" s="518" t="s">
        <v>149</v>
      </c>
      <c r="C10" s="518" t="s">
        <v>150</v>
      </c>
      <c r="D10" s="518" t="s">
        <v>239</v>
      </c>
      <c r="E10" s="518" t="s">
        <v>147</v>
      </c>
      <c r="F10" s="518" t="s">
        <v>148</v>
      </c>
      <c r="G10" s="322" t="s">
        <v>1119</v>
      </c>
      <c r="H10" s="190" t="s">
        <v>1120</v>
      </c>
      <c r="I10" s="290"/>
    </row>
    <row r="11" spans="1:9" s="112" customFormat="1" ht="51">
      <c r="A11" s="113" t="s">
        <v>1105</v>
      </c>
      <c r="B11" s="103" t="s">
        <v>391</v>
      </c>
      <c r="C11" s="103"/>
      <c r="D11" s="103"/>
      <c r="E11" s="303"/>
      <c r="F11" s="303"/>
      <c r="G11" s="115">
        <f>G12</f>
        <v>1200</v>
      </c>
      <c r="H11" s="115">
        <f>H12</f>
        <v>1200</v>
      </c>
      <c r="I11" s="290"/>
    </row>
    <row r="12" spans="1:9" s="112" customFormat="1" ht="25.5">
      <c r="A12" s="176" t="s">
        <v>647</v>
      </c>
      <c r="B12" s="425" t="s">
        <v>391</v>
      </c>
      <c r="C12" s="425"/>
      <c r="D12" s="425" t="s">
        <v>140</v>
      </c>
      <c r="E12" s="514"/>
      <c r="F12" s="514"/>
      <c r="G12" s="426">
        <f>G13</f>
        <v>1200</v>
      </c>
      <c r="H12" s="426">
        <f>H13</f>
        <v>1200</v>
      </c>
      <c r="I12" s="290"/>
    </row>
    <row r="13" spans="1:9" s="112" customFormat="1">
      <c r="A13" s="106" t="s">
        <v>205</v>
      </c>
      <c r="B13" s="105" t="s">
        <v>391</v>
      </c>
      <c r="C13" s="105" t="s">
        <v>202</v>
      </c>
      <c r="D13" s="105" t="s">
        <v>140</v>
      </c>
      <c r="E13" s="105" t="s">
        <v>163</v>
      </c>
      <c r="F13" s="105" t="s">
        <v>152</v>
      </c>
      <c r="G13" s="323">
        <f>'пр.8 2024-2026г'!G205</f>
        <v>1200</v>
      </c>
      <c r="H13" s="323">
        <f>'пр.8 2024-2026г'!H205</f>
        <v>1200</v>
      </c>
      <c r="I13" s="290"/>
    </row>
    <row r="14" spans="1:9" ht="38.25">
      <c r="A14" s="268" t="s">
        <v>943</v>
      </c>
      <c r="B14" s="194" t="s">
        <v>414</v>
      </c>
      <c r="C14" s="194"/>
      <c r="D14" s="194" t="s">
        <v>140</v>
      </c>
      <c r="E14" s="194"/>
      <c r="F14" s="194"/>
      <c r="G14" s="288">
        <f>G15+G22</f>
        <v>726.75</v>
      </c>
      <c r="H14" s="288">
        <f>H15+H22</f>
        <v>0</v>
      </c>
      <c r="I14" s="182"/>
    </row>
    <row r="15" spans="1:9" ht="25.5">
      <c r="A15" s="695" t="s">
        <v>641</v>
      </c>
      <c r="B15" s="286" t="s">
        <v>414</v>
      </c>
      <c r="C15" s="286"/>
      <c r="D15" s="286" t="s">
        <v>140</v>
      </c>
      <c r="E15" s="286" t="s">
        <v>686</v>
      </c>
      <c r="F15" s="286" t="s">
        <v>687</v>
      </c>
      <c r="G15" s="693">
        <f>G16+G17+G19</f>
        <v>521.70000000000005</v>
      </c>
      <c r="H15" s="693">
        <f>H16+H17+H19</f>
        <v>0</v>
      </c>
      <c r="I15" s="182"/>
    </row>
    <row r="16" spans="1:9" ht="38.25">
      <c r="A16" s="110" t="s">
        <v>209</v>
      </c>
      <c r="B16" s="514" t="s">
        <v>389</v>
      </c>
      <c r="C16" s="425" t="s">
        <v>312</v>
      </c>
      <c r="D16" s="621" t="s">
        <v>140</v>
      </c>
      <c r="E16" s="621" t="s">
        <v>161</v>
      </c>
      <c r="F16" s="621" t="s">
        <v>162</v>
      </c>
      <c r="G16" s="426">
        <f>'пр.8 2024-2026г'!G140</f>
        <v>200</v>
      </c>
      <c r="H16" s="117">
        <f>'пр.8 2024-2026г'!H140</f>
        <v>0</v>
      </c>
      <c r="I16" s="182"/>
    </row>
    <row r="17" spans="1:9" ht="38.25">
      <c r="A17" s="40" t="s">
        <v>279</v>
      </c>
      <c r="B17" s="114" t="s">
        <v>813</v>
      </c>
      <c r="C17" s="622"/>
      <c r="D17" s="621" t="s">
        <v>140</v>
      </c>
      <c r="E17" s="621" t="s">
        <v>161</v>
      </c>
      <c r="F17" s="621" t="s">
        <v>162</v>
      </c>
      <c r="G17" s="597">
        <f>G18</f>
        <v>320</v>
      </c>
      <c r="H17" s="117">
        <f>H18</f>
        <v>0</v>
      </c>
      <c r="I17" s="182"/>
    </row>
    <row r="18" spans="1:9" ht="76.5">
      <c r="A18" s="106" t="s">
        <v>531</v>
      </c>
      <c r="B18" s="114" t="s">
        <v>813</v>
      </c>
      <c r="C18" s="424">
        <v>812</v>
      </c>
      <c r="D18" s="621" t="s">
        <v>140</v>
      </c>
      <c r="E18" s="621" t="s">
        <v>161</v>
      </c>
      <c r="F18" s="621" t="s">
        <v>162</v>
      </c>
      <c r="G18" s="597">
        <f>'пр.8 2024-2026г'!G142</f>
        <v>320</v>
      </c>
      <c r="H18" s="117">
        <f>'пр.8 2024-2026г'!H142</f>
        <v>0</v>
      </c>
      <c r="I18" s="182"/>
    </row>
    <row r="19" spans="1:9" ht="51">
      <c r="A19" s="108" t="s">
        <v>408</v>
      </c>
      <c r="B19" s="101" t="s">
        <v>814</v>
      </c>
      <c r="C19" s="623"/>
      <c r="D19" s="621" t="s">
        <v>140</v>
      </c>
      <c r="E19" s="621" t="s">
        <v>161</v>
      </c>
      <c r="F19" s="621" t="s">
        <v>162</v>
      </c>
      <c r="G19" s="597">
        <f>G20+G21</f>
        <v>1.7</v>
      </c>
      <c r="H19" s="117">
        <f>H20+H21</f>
        <v>0</v>
      </c>
      <c r="I19" s="182"/>
    </row>
    <row r="20" spans="1:9" ht="25.5">
      <c r="A20" s="107" t="s">
        <v>324</v>
      </c>
      <c r="B20" s="101" t="s">
        <v>814</v>
      </c>
      <c r="C20" s="265">
        <v>121</v>
      </c>
      <c r="D20" s="621" t="s">
        <v>140</v>
      </c>
      <c r="E20" s="621" t="s">
        <v>161</v>
      </c>
      <c r="F20" s="621" t="s">
        <v>162</v>
      </c>
      <c r="G20" s="597">
        <f>'пр.8 2024-2026г'!G144</f>
        <v>1.30568</v>
      </c>
      <c r="H20" s="117">
        <f>'пр.8 2024-2026г'!H144</f>
        <v>0</v>
      </c>
      <c r="I20" s="182"/>
    </row>
    <row r="21" spans="1:9" ht="51">
      <c r="A21" s="620" t="s">
        <v>325</v>
      </c>
      <c r="B21" s="101" t="s">
        <v>814</v>
      </c>
      <c r="C21" s="265">
        <v>129</v>
      </c>
      <c r="D21" s="621" t="s">
        <v>140</v>
      </c>
      <c r="E21" s="621" t="s">
        <v>161</v>
      </c>
      <c r="F21" s="621" t="s">
        <v>162</v>
      </c>
      <c r="G21" s="597">
        <f>'пр.8 2024-2026г'!G145</f>
        <v>0.39432</v>
      </c>
      <c r="H21" s="117">
        <f>'пр.8 2024-2026г'!H145</f>
        <v>0</v>
      </c>
      <c r="I21" s="182"/>
    </row>
    <row r="22" spans="1:9" ht="25.5">
      <c r="A22" s="532" t="s">
        <v>653</v>
      </c>
      <c r="B22" s="694" t="s">
        <v>625</v>
      </c>
      <c r="C22" s="283"/>
      <c r="D22" s="283" t="s">
        <v>140</v>
      </c>
      <c r="E22" s="692" t="s">
        <v>165</v>
      </c>
      <c r="F22" s="692" t="s">
        <v>155</v>
      </c>
      <c r="G22" s="284">
        <f>G23+G25</f>
        <v>205.05</v>
      </c>
      <c r="H22" s="284">
        <f>H23+H25</f>
        <v>0</v>
      </c>
      <c r="I22" s="182"/>
    </row>
    <row r="23" spans="1:9" ht="76.5" hidden="1">
      <c r="A23" s="490" t="s">
        <v>759</v>
      </c>
      <c r="B23" s="491" t="s">
        <v>625</v>
      </c>
      <c r="C23" s="100"/>
      <c r="D23" s="105" t="s">
        <v>140</v>
      </c>
      <c r="E23" s="137" t="s">
        <v>165</v>
      </c>
      <c r="F23" s="137" t="s">
        <v>155</v>
      </c>
      <c r="G23" s="117">
        <f>G24</f>
        <v>0</v>
      </c>
      <c r="H23" s="117"/>
      <c r="I23" s="182"/>
    </row>
    <row r="24" spans="1:9" hidden="1">
      <c r="A24" s="106" t="s">
        <v>310</v>
      </c>
      <c r="B24" s="491" t="s">
        <v>625</v>
      </c>
      <c r="C24" s="100" t="s">
        <v>321</v>
      </c>
      <c r="D24" s="105" t="s">
        <v>140</v>
      </c>
      <c r="E24" s="137" t="s">
        <v>165</v>
      </c>
      <c r="F24" s="137" t="s">
        <v>155</v>
      </c>
      <c r="G24" s="117">
        <f>'пр.8 2024-2026г'!G295</f>
        <v>0</v>
      </c>
      <c r="H24" s="117"/>
      <c r="I24" s="182"/>
    </row>
    <row r="25" spans="1:9" ht="89.25">
      <c r="A25" s="490" t="s">
        <v>539</v>
      </c>
      <c r="B25" s="491" t="s">
        <v>625</v>
      </c>
      <c r="C25" s="100"/>
      <c r="D25" s="105" t="s">
        <v>140</v>
      </c>
      <c r="E25" s="137" t="s">
        <v>165</v>
      </c>
      <c r="F25" s="137" t="s">
        <v>155</v>
      </c>
      <c r="G25" s="117">
        <f>G26</f>
        <v>205.05</v>
      </c>
      <c r="H25" s="117">
        <f>H26</f>
        <v>0</v>
      </c>
      <c r="I25" s="182"/>
    </row>
    <row r="26" spans="1:9">
      <c r="A26" s="106" t="s">
        <v>310</v>
      </c>
      <c r="B26" s="491" t="s">
        <v>625</v>
      </c>
      <c r="C26" s="137" t="s">
        <v>321</v>
      </c>
      <c r="D26" s="105" t="s">
        <v>140</v>
      </c>
      <c r="E26" s="137" t="s">
        <v>165</v>
      </c>
      <c r="F26" s="137" t="s">
        <v>155</v>
      </c>
      <c r="G26" s="117">
        <f>'пр.8 2024-2026г'!G297</f>
        <v>205.05</v>
      </c>
      <c r="H26" s="117">
        <f>'пр.8 2024-2026г'!H297</f>
        <v>0</v>
      </c>
      <c r="I26" s="182"/>
    </row>
    <row r="27" spans="1:9" ht="38.25">
      <c r="A27" s="113" t="s">
        <v>947</v>
      </c>
      <c r="B27" s="103" t="s">
        <v>612</v>
      </c>
      <c r="C27" s="103"/>
      <c r="D27" s="103" t="s">
        <v>764</v>
      </c>
      <c r="E27" s="194"/>
      <c r="F27" s="194"/>
      <c r="G27" s="288">
        <f>G28+G31</f>
        <v>46318.6</v>
      </c>
      <c r="H27" s="288">
        <f>H28+H31</f>
        <v>0</v>
      </c>
      <c r="I27" s="182"/>
    </row>
    <row r="28" spans="1:9" ht="25.5">
      <c r="A28" s="423" t="s">
        <v>638</v>
      </c>
      <c r="B28" s="425" t="s">
        <v>654</v>
      </c>
      <c r="C28" s="425"/>
      <c r="D28" s="92" t="s">
        <v>137</v>
      </c>
      <c r="E28" s="100" t="s">
        <v>152</v>
      </c>
      <c r="F28" s="100" t="s">
        <v>158</v>
      </c>
      <c r="G28" s="117">
        <f>G29+G30</f>
        <v>927.6</v>
      </c>
      <c r="H28" s="117">
        <f>H29+H30</f>
        <v>0</v>
      </c>
      <c r="I28" s="182"/>
    </row>
    <row r="29" spans="1:9" ht="25.5">
      <c r="A29" s="184" t="s">
        <v>317</v>
      </c>
      <c r="B29" s="100" t="s">
        <v>615</v>
      </c>
      <c r="C29" s="514" t="s">
        <v>318</v>
      </c>
      <c r="D29" s="92" t="s">
        <v>137</v>
      </c>
      <c r="E29" s="100" t="s">
        <v>152</v>
      </c>
      <c r="F29" s="100" t="s">
        <v>158</v>
      </c>
      <c r="G29" s="117">
        <f>'пр.8 2024-2026г'!G56</f>
        <v>777.6</v>
      </c>
      <c r="H29" s="117">
        <f>'пр.8 2024-2026г'!H56</f>
        <v>0</v>
      </c>
      <c r="I29" s="182"/>
    </row>
    <row r="30" spans="1:9" ht="38.25">
      <c r="A30" s="110" t="s">
        <v>209</v>
      </c>
      <c r="B30" s="100" t="s">
        <v>615</v>
      </c>
      <c r="C30" s="282">
        <v>244</v>
      </c>
      <c r="D30" s="92" t="s">
        <v>137</v>
      </c>
      <c r="E30" s="100" t="s">
        <v>152</v>
      </c>
      <c r="F30" s="100" t="s">
        <v>158</v>
      </c>
      <c r="G30" s="117">
        <f>'пр.8 2024-2026г'!G57</f>
        <v>150</v>
      </c>
      <c r="H30" s="117">
        <f>'пр.8 2024-2026г'!H57</f>
        <v>0</v>
      </c>
      <c r="I30" s="182"/>
    </row>
    <row r="31" spans="1:9" ht="25.5">
      <c r="A31" s="423" t="s">
        <v>639</v>
      </c>
      <c r="B31" s="514" t="s">
        <v>618</v>
      </c>
      <c r="C31" s="282"/>
      <c r="D31" s="92" t="s">
        <v>764</v>
      </c>
      <c r="E31" s="100" t="s">
        <v>165</v>
      </c>
      <c r="F31" s="100" t="s">
        <v>376</v>
      </c>
      <c r="G31" s="117">
        <f>G32+G34</f>
        <v>45391</v>
      </c>
      <c r="H31" s="117">
        <f>H32+H34</f>
        <v>0</v>
      </c>
      <c r="I31" s="182"/>
    </row>
    <row r="32" spans="1:9" ht="25.5">
      <c r="A32" s="107" t="s">
        <v>309</v>
      </c>
      <c r="B32" s="514" t="s">
        <v>617</v>
      </c>
      <c r="C32" s="100"/>
      <c r="D32" s="100" t="s">
        <v>137</v>
      </c>
      <c r="E32" s="100" t="s">
        <v>165</v>
      </c>
      <c r="F32" s="100" t="s">
        <v>152</v>
      </c>
      <c r="G32" s="117">
        <f>G33</f>
        <v>104.2</v>
      </c>
      <c r="H32" s="117">
        <f>H33</f>
        <v>0</v>
      </c>
      <c r="I32" s="182"/>
    </row>
    <row r="33" spans="1:9">
      <c r="A33" s="106" t="s">
        <v>201</v>
      </c>
      <c r="B33" s="514" t="s">
        <v>617</v>
      </c>
      <c r="C33" s="105" t="s">
        <v>24</v>
      </c>
      <c r="D33" s="105" t="s">
        <v>137</v>
      </c>
      <c r="E33" s="105" t="s">
        <v>165</v>
      </c>
      <c r="F33" s="105" t="s">
        <v>152</v>
      </c>
      <c r="G33" s="117">
        <f>'пр.8 2024-2026г'!G63</f>
        <v>104.2</v>
      </c>
      <c r="H33" s="117">
        <f>'пр.8 2024-2026г'!H63</f>
        <v>0</v>
      </c>
      <c r="I33" s="182"/>
    </row>
    <row r="34" spans="1:9" ht="38.25">
      <c r="A34" s="423" t="s">
        <v>613</v>
      </c>
      <c r="B34" s="514" t="s">
        <v>616</v>
      </c>
      <c r="C34" s="105"/>
      <c r="D34" s="105" t="s">
        <v>764</v>
      </c>
      <c r="E34" s="105" t="s">
        <v>165</v>
      </c>
      <c r="F34" s="105" t="s">
        <v>155</v>
      </c>
      <c r="G34" s="117">
        <f>G35</f>
        <v>45286.8</v>
      </c>
      <c r="H34" s="117">
        <f>H35</f>
        <v>0</v>
      </c>
      <c r="I34" s="182"/>
    </row>
    <row r="35" spans="1:9">
      <c r="A35" s="106" t="s">
        <v>310</v>
      </c>
      <c r="B35" s="514" t="s">
        <v>616</v>
      </c>
      <c r="C35" s="105" t="s">
        <v>321</v>
      </c>
      <c r="D35" s="105" t="s">
        <v>764</v>
      </c>
      <c r="E35" s="105" t="s">
        <v>165</v>
      </c>
      <c r="F35" s="105" t="s">
        <v>155</v>
      </c>
      <c r="G35" s="117">
        <f>'пр.8 2024-2026г'!G71</f>
        <v>45286.8</v>
      </c>
      <c r="H35" s="117">
        <f>'пр.8 2024-2026г'!H71</f>
        <v>0</v>
      </c>
      <c r="I35" s="182"/>
    </row>
    <row r="36" spans="1:9" ht="38.25">
      <c r="A36" s="382" t="s">
        <v>948</v>
      </c>
      <c r="B36" s="194" t="s">
        <v>574</v>
      </c>
      <c r="C36" s="194"/>
      <c r="D36" s="194" t="s">
        <v>82</v>
      </c>
      <c r="E36" s="194"/>
      <c r="F36" s="194"/>
      <c r="G36" s="501">
        <f>G37+G53+G93+G101+G117+G140+G143</f>
        <v>803676.12862000009</v>
      </c>
      <c r="H36" s="501">
        <f>H37+H53+H93+H101+H117+H140+H143</f>
        <v>0</v>
      </c>
      <c r="I36" s="182"/>
    </row>
    <row r="37" spans="1:9" ht="25.5">
      <c r="A37" s="285" t="s">
        <v>354</v>
      </c>
      <c r="B37" s="525" t="s">
        <v>575</v>
      </c>
      <c r="C37" s="283"/>
      <c r="D37" s="283" t="s">
        <v>82</v>
      </c>
      <c r="E37" s="283" t="s">
        <v>677</v>
      </c>
      <c r="F37" s="283" t="s">
        <v>678</v>
      </c>
      <c r="G37" s="284">
        <f>G38</f>
        <v>141652.5</v>
      </c>
      <c r="H37" s="284">
        <f>H38</f>
        <v>0</v>
      </c>
      <c r="I37" s="182"/>
    </row>
    <row r="38" spans="1:9" ht="51">
      <c r="A38" s="527" t="s">
        <v>576</v>
      </c>
      <c r="B38" s="526" t="s">
        <v>577</v>
      </c>
      <c r="C38" s="283"/>
      <c r="D38" s="283" t="s">
        <v>82</v>
      </c>
      <c r="E38" s="283" t="s">
        <v>677</v>
      </c>
      <c r="F38" s="283" t="s">
        <v>678</v>
      </c>
      <c r="G38" s="117">
        <f>G39+G42+G48+G51</f>
        <v>141652.5</v>
      </c>
      <c r="H38" s="117">
        <f>H39+H42+H48+H51</f>
        <v>0</v>
      </c>
      <c r="I38" s="182"/>
    </row>
    <row r="39" spans="1:9" ht="25.5">
      <c r="A39" s="108" t="s">
        <v>299</v>
      </c>
      <c r="B39" s="100" t="s">
        <v>578</v>
      </c>
      <c r="C39" s="100"/>
      <c r="D39" s="100" t="s">
        <v>82</v>
      </c>
      <c r="E39" s="100" t="s">
        <v>154</v>
      </c>
      <c r="F39" s="100" t="s">
        <v>152</v>
      </c>
      <c r="G39" s="117">
        <f>G40+G41</f>
        <v>57554.6</v>
      </c>
      <c r="H39" s="117">
        <f>H40+H41</f>
        <v>0</v>
      </c>
      <c r="I39" s="182"/>
    </row>
    <row r="40" spans="1:9">
      <c r="A40" s="106" t="s">
        <v>203</v>
      </c>
      <c r="B40" s="100" t="s">
        <v>578</v>
      </c>
      <c r="C40" s="100" t="s">
        <v>319</v>
      </c>
      <c r="D40" s="100" t="s">
        <v>82</v>
      </c>
      <c r="E40" s="100" t="s">
        <v>154</v>
      </c>
      <c r="F40" s="100" t="s">
        <v>152</v>
      </c>
      <c r="G40" s="117">
        <f>'пр.8 2024-2026г'!G311</f>
        <v>40000</v>
      </c>
      <c r="H40" s="117">
        <f>'пр.8 2024-2026г'!H311</f>
        <v>0</v>
      </c>
      <c r="I40" s="182"/>
    </row>
    <row r="41" spans="1:9">
      <c r="A41" s="106" t="s">
        <v>267</v>
      </c>
      <c r="B41" s="100" t="s">
        <v>578</v>
      </c>
      <c r="C41" s="100" t="s">
        <v>320</v>
      </c>
      <c r="D41" s="100" t="s">
        <v>82</v>
      </c>
      <c r="E41" s="100" t="s">
        <v>154</v>
      </c>
      <c r="F41" s="100" t="s">
        <v>152</v>
      </c>
      <c r="G41" s="117">
        <f>'пр.8 2024-2026г'!G312</f>
        <v>17554.599999999999</v>
      </c>
      <c r="H41" s="117">
        <f>'пр.8 2024-2026г'!H312</f>
        <v>0</v>
      </c>
      <c r="I41" s="182"/>
    </row>
    <row r="42" spans="1:9" ht="25.5">
      <c r="A42" s="108" t="s">
        <v>275</v>
      </c>
      <c r="B42" s="101" t="s">
        <v>579</v>
      </c>
      <c r="C42" s="280"/>
      <c r="D42" s="100" t="s">
        <v>82</v>
      </c>
      <c r="E42" s="100" t="s">
        <v>154</v>
      </c>
      <c r="F42" s="100" t="s">
        <v>152</v>
      </c>
      <c r="G42" s="117">
        <f>G43+G44</f>
        <v>82345.899999999994</v>
      </c>
      <c r="H42" s="117">
        <f>H43+H44</f>
        <v>0</v>
      </c>
      <c r="I42" s="182"/>
    </row>
    <row r="43" spans="1:9">
      <c r="A43" s="107" t="s">
        <v>205</v>
      </c>
      <c r="B43" s="101" t="s">
        <v>579</v>
      </c>
      <c r="C43" s="100" t="s">
        <v>202</v>
      </c>
      <c r="D43" s="100" t="s">
        <v>82</v>
      </c>
      <c r="E43" s="100" t="s">
        <v>154</v>
      </c>
      <c r="F43" s="100" t="s">
        <v>152</v>
      </c>
      <c r="G43" s="117">
        <f>'пр.8 2024-2026г'!G317</f>
        <v>51931.1</v>
      </c>
      <c r="H43" s="117">
        <f>'пр.8 2024-2026г'!H317</f>
        <v>0</v>
      </c>
      <c r="I43" s="182"/>
    </row>
    <row r="44" spans="1:9">
      <c r="A44" s="107" t="s">
        <v>269</v>
      </c>
      <c r="B44" s="101" t="s">
        <v>579</v>
      </c>
      <c r="C44" s="100" t="s">
        <v>270</v>
      </c>
      <c r="D44" s="100" t="s">
        <v>82</v>
      </c>
      <c r="E44" s="100" t="s">
        <v>154</v>
      </c>
      <c r="F44" s="100" t="s">
        <v>152</v>
      </c>
      <c r="G44" s="117">
        <f>'пр.8 2024-2026г'!G318</f>
        <v>30414.799999999999</v>
      </c>
      <c r="H44" s="117">
        <f>'пр.8 2024-2026г'!H318</f>
        <v>0</v>
      </c>
      <c r="I44" s="182"/>
    </row>
    <row r="45" spans="1:9" ht="76.5" hidden="1">
      <c r="A45" s="483" t="s">
        <v>570</v>
      </c>
      <c r="B45" s="100" t="s">
        <v>717</v>
      </c>
      <c r="C45" s="280"/>
      <c r="D45" s="100" t="s">
        <v>82</v>
      </c>
      <c r="E45" s="100" t="s">
        <v>154</v>
      </c>
      <c r="F45" s="100" t="s">
        <v>152</v>
      </c>
      <c r="G45" s="117"/>
      <c r="H45" s="117"/>
      <c r="I45" s="182"/>
    </row>
    <row r="46" spans="1:9" hidden="1">
      <c r="A46" s="107" t="s">
        <v>205</v>
      </c>
      <c r="B46" s="100" t="s">
        <v>717</v>
      </c>
      <c r="C46" s="100" t="s">
        <v>202</v>
      </c>
      <c r="D46" s="100" t="s">
        <v>82</v>
      </c>
      <c r="E46" s="100" t="s">
        <v>154</v>
      </c>
      <c r="F46" s="100" t="s">
        <v>152</v>
      </c>
      <c r="G46" s="117"/>
      <c r="H46" s="117"/>
      <c r="I46" s="182"/>
    </row>
    <row r="47" spans="1:9" hidden="1">
      <c r="A47" s="107" t="s">
        <v>269</v>
      </c>
      <c r="B47" s="100" t="s">
        <v>717</v>
      </c>
      <c r="C47" s="100" t="s">
        <v>270</v>
      </c>
      <c r="D47" s="100" t="s">
        <v>82</v>
      </c>
      <c r="E47" s="100" t="s">
        <v>154</v>
      </c>
      <c r="F47" s="100" t="s">
        <v>152</v>
      </c>
      <c r="G47" s="117"/>
      <c r="H47" s="117"/>
      <c r="I47" s="182"/>
    </row>
    <row r="48" spans="1:9" ht="51">
      <c r="A48" s="106" t="s">
        <v>961</v>
      </c>
      <c r="B48" s="100" t="s">
        <v>962</v>
      </c>
      <c r="C48" s="92"/>
      <c r="D48" s="100" t="s">
        <v>82</v>
      </c>
      <c r="E48" s="100" t="s">
        <v>154</v>
      </c>
      <c r="F48" s="100" t="s">
        <v>152</v>
      </c>
      <c r="G48" s="117">
        <f>G49+G50</f>
        <v>352</v>
      </c>
      <c r="H48" s="117">
        <f>H49+H50</f>
        <v>0</v>
      </c>
      <c r="I48" s="182"/>
    </row>
    <row r="49" spans="1:9">
      <c r="A49" s="106" t="s">
        <v>205</v>
      </c>
      <c r="B49" s="100" t="s">
        <v>776</v>
      </c>
      <c r="C49" s="92" t="s">
        <v>202</v>
      </c>
      <c r="D49" s="100" t="s">
        <v>82</v>
      </c>
      <c r="E49" s="100" t="s">
        <v>154</v>
      </c>
      <c r="F49" s="100" t="s">
        <v>152</v>
      </c>
      <c r="G49" s="117">
        <f>'пр.8 2024-2026г'!G320</f>
        <v>140.6</v>
      </c>
      <c r="H49" s="117">
        <f>'пр.8 2024-2026г'!H320</f>
        <v>0</v>
      </c>
      <c r="I49" s="182"/>
    </row>
    <row r="50" spans="1:9">
      <c r="A50" s="107" t="s">
        <v>269</v>
      </c>
      <c r="B50" s="100" t="s">
        <v>776</v>
      </c>
      <c r="C50" s="92" t="s">
        <v>270</v>
      </c>
      <c r="D50" s="100" t="s">
        <v>82</v>
      </c>
      <c r="E50" s="100" t="s">
        <v>154</v>
      </c>
      <c r="F50" s="100" t="s">
        <v>152</v>
      </c>
      <c r="G50" s="117">
        <f>'пр.8 2024-2026г'!G321</f>
        <v>211.4</v>
      </c>
      <c r="H50" s="117">
        <f>'пр.8 2024-2026г'!H321</f>
        <v>0</v>
      </c>
      <c r="I50" s="182"/>
    </row>
    <row r="51" spans="1:9" ht="229.5">
      <c r="A51" s="21" t="s">
        <v>525</v>
      </c>
      <c r="B51" s="100" t="s">
        <v>655</v>
      </c>
      <c r="C51" s="100"/>
      <c r="D51" s="100" t="s">
        <v>82</v>
      </c>
      <c r="E51" s="100" t="s">
        <v>157</v>
      </c>
      <c r="F51" s="100" t="s">
        <v>155</v>
      </c>
      <c r="G51" s="117">
        <f>G52</f>
        <v>1400</v>
      </c>
      <c r="H51" s="117">
        <f>H52</f>
        <v>0</v>
      </c>
      <c r="I51" s="182"/>
    </row>
    <row r="52" spans="1:9">
      <c r="A52" s="107" t="s">
        <v>205</v>
      </c>
      <c r="B52" s="100" t="s">
        <v>655</v>
      </c>
      <c r="C52" s="100" t="s">
        <v>202</v>
      </c>
      <c r="D52" s="100" t="s">
        <v>82</v>
      </c>
      <c r="E52" s="100" t="s">
        <v>157</v>
      </c>
      <c r="F52" s="100" t="s">
        <v>155</v>
      </c>
      <c r="G52" s="117">
        <v>1400</v>
      </c>
      <c r="H52" s="117">
        <v>0</v>
      </c>
      <c r="I52" s="182"/>
    </row>
    <row r="53" spans="1:9" ht="25.5">
      <c r="A53" s="285" t="s">
        <v>351</v>
      </c>
      <c r="B53" s="528" t="s">
        <v>658</v>
      </c>
      <c r="C53" s="286"/>
      <c r="D53" s="283" t="s">
        <v>82</v>
      </c>
      <c r="E53" s="283" t="s">
        <v>154</v>
      </c>
      <c r="F53" s="283" t="s">
        <v>153</v>
      </c>
      <c r="G53" s="284">
        <f>G54</f>
        <v>589924.34568000014</v>
      </c>
      <c r="H53" s="284">
        <f>H54</f>
        <v>0</v>
      </c>
      <c r="I53" s="182"/>
    </row>
    <row r="54" spans="1:9" ht="51">
      <c r="A54" s="285" t="s">
        <v>580</v>
      </c>
      <c r="B54" s="528" t="s">
        <v>657</v>
      </c>
      <c r="C54" s="286"/>
      <c r="D54" s="283"/>
      <c r="E54" s="283"/>
      <c r="F54" s="283"/>
      <c r="G54" s="284">
        <f>G55+G57+G59+G61+G63+G65+G67+G69+G71+G73+G75+G77+G79+G81+G83+G85+G87+G89+G91</f>
        <v>589924.34568000014</v>
      </c>
      <c r="H54" s="284">
        <f>H55+H57+H59+H61+H63+H65+H67+H69+H71+H73+H75+H77+H79+H81+H83+H85+H87+H89+H91</f>
        <v>0</v>
      </c>
      <c r="I54" s="182"/>
    </row>
    <row r="55" spans="1:9" ht="25.5">
      <c r="A55" s="40" t="s">
        <v>299</v>
      </c>
      <c r="B55" s="100" t="s">
        <v>656</v>
      </c>
      <c r="C55" s="100"/>
      <c r="D55" s="100" t="s">
        <v>82</v>
      </c>
      <c r="E55" s="100" t="s">
        <v>154</v>
      </c>
      <c r="F55" s="100" t="s">
        <v>153</v>
      </c>
      <c r="G55" s="117">
        <f>G56</f>
        <v>57464.773480000003</v>
      </c>
      <c r="H55" s="117">
        <f>H56</f>
        <v>0</v>
      </c>
      <c r="I55" s="182"/>
    </row>
    <row r="56" spans="1:9">
      <c r="A56" s="106" t="s">
        <v>203</v>
      </c>
      <c r="B56" s="100" t="s">
        <v>656</v>
      </c>
      <c r="C56" s="100" t="s">
        <v>319</v>
      </c>
      <c r="D56" s="100" t="s">
        <v>82</v>
      </c>
      <c r="E56" s="100" t="s">
        <v>154</v>
      </c>
      <c r="F56" s="100" t="s">
        <v>153</v>
      </c>
      <c r="G56" s="117">
        <f>'пр.8 2024-2026г'!G342</f>
        <v>57464.773480000003</v>
      </c>
      <c r="H56" s="117">
        <f>'пр.8 2024-2026г'!H342</f>
        <v>0</v>
      </c>
      <c r="I56" s="182"/>
    </row>
    <row r="57" spans="1:9" ht="51">
      <c r="A57" s="108" t="s">
        <v>266</v>
      </c>
      <c r="B57" s="100" t="s">
        <v>659</v>
      </c>
      <c r="C57" s="100"/>
      <c r="D57" s="100" t="s">
        <v>82</v>
      </c>
      <c r="E57" s="100" t="s">
        <v>154</v>
      </c>
      <c r="F57" s="100" t="s">
        <v>153</v>
      </c>
      <c r="G57" s="117">
        <f>G58</f>
        <v>292514.5</v>
      </c>
      <c r="H57" s="117">
        <f>H58</f>
        <v>0</v>
      </c>
      <c r="I57" s="182"/>
    </row>
    <row r="58" spans="1:9">
      <c r="A58" s="107" t="s">
        <v>205</v>
      </c>
      <c r="B58" s="100" t="s">
        <v>659</v>
      </c>
      <c r="C58" s="100" t="s">
        <v>202</v>
      </c>
      <c r="D58" s="100" t="s">
        <v>82</v>
      </c>
      <c r="E58" s="100" t="s">
        <v>154</v>
      </c>
      <c r="F58" s="100" t="s">
        <v>153</v>
      </c>
      <c r="G58" s="117">
        <f>'пр.8 2024-2026г'!G348</f>
        <v>292514.5</v>
      </c>
      <c r="H58" s="117">
        <f>'пр.8 2024-2026г'!H348</f>
        <v>0</v>
      </c>
      <c r="I58" s="182"/>
    </row>
    <row r="59" spans="1:9" ht="25.5">
      <c r="A59" s="40" t="s">
        <v>275</v>
      </c>
      <c r="B59" s="92" t="s">
        <v>660</v>
      </c>
      <c r="C59" s="100"/>
      <c r="D59" s="100" t="s">
        <v>82</v>
      </c>
      <c r="E59" s="100" t="s">
        <v>154</v>
      </c>
      <c r="F59" s="100" t="s">
        <v>153</v>
      </c>
      <c r="G59" s="117">
        <f>G60</f>
        <v>7511.4</v>
      </c>
      <c r="H59" s="117">
        <f>H60</f>
        <v>0</v>
      </c>
      <c r="I59" s="182"/>
    </row>
    <row r="60" spans="1:9">
      <c r="A60" s="107" t="s">
        <v>205</v>
      </c>
      <c r="B60" s="92" t="s">
        <v>660</v>
      </c>
      <c r="C60" s="100" t="s">
        <v>202</v>
      </c>
      <c r="D60" s="100" t="s">
        <v>82</v>
      </c>
      <c r="E60" s="100" t="s">
        <v>154</v>
      </c>
      <c r="F60" s="100" t="s">
        <v>153</v>
      </c>
      <c r="G60" s="117">
        <f>'пр.8 2024-2026г'!G346</f>
        <v>7511.4</v>
      </c>
      <c r="H60" s="117">
        <f>'пр.8 2024-2026г'!H346</f>
        <v>0</v>
      </c>
      <c r="I60" s="182"/>
    </row>
    <row r="61" spans="1:9" ht="25.5">
      <c r="A61" s="108" t="s">
        <v>179</v>
      </c>
      <c r="B61" s="100" t="s">
        <v>661</v>
      </c>
      <c r="C61" s="100"/>
      <c r="D61" s="100" t="s">
        <v>82</v>
      </c>
      <c r="E61" s="100" t="s">
        <v>154</v>
      </c>
      <c r="F61" s="100" t="s">
        <v>153</v>
      </c>
      <c r="G61" s="117">
        <f>G62</f>
        <v>5806.1</v>
      </c>
      <c r="H61" s="117">
        <f>H62</f>
        <v>0</v>
      </c>
      <c r="I61" s="182"/>
    </row>
    <row r="62" spans="1:9">
      <c r="A62" s="107" t="s">
        <v>205</v>
      </c>
      <c r="B62" s="100" t="s">
        <v>661</v>
      </c>
      <c r="C62" s="100" t="s">
        <v>202</v>
      </c>
      <c r="D62" s="100" t="s">
        <v>82</v>
      </c>
      <c r="E62" s="100" t="s">
        <v>154</v>
      </c>
      <c r="F62" s="100" t="s">
        <v>153</v>
      </c>
      <c r="G62" s="117">
        <f>'пр.8 2024-2026г'!G350</f>
        <v>5806.1</v>
      </c>
      <c r="H62" s="117">
        <f>'пр.8 2024-2026г'!H350</f>
        <v>0</v>
      </c>
      <c r="I62" s="182"/>
    </row>
    <row r="63" spans="1:9" ht="76.5" hidden="1">
      <c r="A63" s="483" t="s">
        <v>570</v>
      </c>
      <c r="B63" s="100" t="s">
        <v>703</v>
      </c>
      <c r="C63" s="100"/>
      <c r="D63" s="100" t="s">
        <v>82</v>
      </c>
      <c r="E63" s="100" t="s">
        <v>154</v>
      </c>
      <c r="F63" s="100" t="s">
        <v>153</v>
      </c>
      <c r="G63" s="117">
        <f>G64</f>
        <v>0</v>
      </c>
      <c r="H63" s="117">
        <f>H64</f>
        <v>0</v>
      </c>
      <c r="I63" s="182"/>
    </row>
    <row r="64" spans="1:9" hidden="1">
      <c r="A64" s="106" t="s">
        <v>205</v>
      </c>
      <c r="B64" s="100" t="s">
        <v>703</v>
      </c>
      <c r="C64" s="100" t="s">
        <v>202</v>
      </c>
      <c r="D64" s="100" t="s">
        <v>82</v>
      </c>
      <c r="E64" s="100" t="s">
        <v>154</v>
      </c>
      <c r="F64" s="100" t="s">
        <v>153</v>
      </c>
      <c r="G64" s="117"/>
      <c r="H64" s="117"/>
      <c r="I64" s="182"/>
    </row>
    <row r="65" spans="1:9" ht="89.25" hidden="1">
      <c r="A65" s="483" t="s">
        <v>571</v>
      </c>
      <c r="B65" s="100" t="s">
        <v>703</v>
      </c>
      <c r="C65" s="100"/>
      <c r="D65" s="100" t="s">
        <v>82</v>
      </c>
      <c r="E65" s="100" t="s">
        <v>154</v>
      </c>
      <c r="F65" s="100" t="s">
        <v>153</v>
      </c>
      <c r="G65" s="117">
        <f>G66</f>
        <v>0</v>
      </c>
      <c r="H65" s="117">
        <f>H66</f>
        <v>0</v>
      </c>
      <c r="I65" s="182"/>
    </row>
    <row r="66" spans="1:9" hidden="1">
      <c r="A66" s="106" t="s">
        <v>205</v>
      </c>
      <c r="B66" s="100" t="s">
        <v>703</v>
      </c>
      <c r="C66" s="100" t="s">
        <v>202</v>
      </c>
      <c r="D66" s="100" t="s">
        <v>82</v>
      </c>
      <c r="E66" s="100" t="s">
        <v>154</v>
      </c>
      <c r="F66" s="100" t="s">
        <v>153</v>
      </c>
      <c r="G66" s="117"/>
      <c r="H66" s="117"/>
      <c r="I66" s="182"/>
    </row>
    <row r="67" spans="1:9" ht="51" hidden="1">
      <c r="A67" s="107" t="s">
        <v>497</v>
      </c>
      <c r="B67" s="92" t="s">
        <v>662</v>
      </c>
      <c r="C67" s="100"/>
      <c r="D67" s="100" t="s">
        <v>82</v>
      </c>
      <c r="E67" s="100" t="s">
        <v>154</v>
      </c>
      <c r="F67" s="100" t="s">
        <v>153</v>
      </c>
      <c r="G67" s="117"/>
      <c r="H67" s="117"/>
      <c r="I67" s="182"/>
    </row>
    <row r="68" spans="1:9" hidden="1">
      <c r="A68" s="107" t="s">
        <v>205</v>
      </c>
      <c r="B68" s="92" t="s">
        <v>662</v>
      </c>
      <c r="C68" s="100" t="s">
        <v>202</v>
      </c>
      <c r="D68" s="100" t="s">
        <v>82</v>
      </c>
      <c r="E68" s="100" t="s">
        <v>154</v>
      </c>
      <c r="F68" s="100" t="s">
        <v>153</v>
      </c>
      <c r="G68" s="117"/>
      <c r="H68" s="117"/>
      <c r="I68" s="182"/>
    </row>
    <row r="69" spans="1:9" ht="63.75" hidden="1">
      <c r="A69" s="107" t="s">
        <v>498</v>
      </c>
      <c r="B69" s="92" t="s">
        <v>662</v>
      </c>
      <c r="C69" s="100"/>
      <c r="D69" s="100" t="s">
        <v>82</v>
      </c>
      <c r="E69" s="100" t="s">
        <v>154</v>
      </c>
      <c r="F69" s="100" t="s">
        <v>153</v>
      </c>
      <c r="G69" s="117"/>
      <c r="H69" s="117"/>
      <c r="I69" s="182"/>
    </row>
    <row r="70" spans="1:9" hidden="1">
      <c r="A70" s="107" t="s">
        <v>205</v>
      </c>
      <c r="B70" s="92" t="s">
        <v>662</v>
      </c>
      <c r="C70" s="100" t="s">
        <v>202</v>
      </c>
      <c r="D70" s="100" t="s">
        <v>82</v>
      </c>
      <c r="E70" s="100" t="s">
        <v>154</v>
      </c>
      <c r="F70" s="100" t="s">
        <v>153</v>
      </c>
      <c r="G70" s="117"/>
      <c r="H70" s="117"/>
      <c r="I70" s="182"/>
    </row>
    <row r="71" spans="1:9" ht="51">
      <c r="A71" s="106" t="s">
        <v>522</v>
      </c>
      <c r="B71" s="92" t="s">
        <v>663</v>
      </c>
      <c r="C71" s="100"/>
      <c r="D71" s="100" t="s">
        <v>82</v>
      </c>
      <c r="E71" s="100" t="s">
        <v>154</v>
      </c>
      <c r="F71" s="100" t="s">
        <v>153</v>
      </c>
      <c r="G71" s="117">
        <f>G72</f>
        <v>122321.3</v>
      </c>
      <c r="H71" s="117">
        <f>H72</f>
        <v>0</v>
      </c>
      <c r="I71" s="182"/>
    </row>
    <row r="72" spans="1:9">
      <c r="A72" s="107" t="s">
        <v>205</v>
      </c>
      <c r="B72" s="92" t="s">
        <v>663</v>
      </c>
      <c r="C72" s="100" t="s">
        <v>202</v>
      </c>
      <c r="D72" s="100" t="s">
        <v>82</v>
      </c>
      <c r="E72" s="100" t="s">
        <v>154</v>
      </c>
      <c r="F72" s="100" t="s">
        <v>153</v>
      </c>
      <c r="G72" s="117">
        <f>'пр.8 2024-2026г'!G356</f>
        <v>122321.3</v>
      </c>
      <c r="H72" s="117">
        <f>'пр.8 2024-2026г'!H356</f>
        <v>0</v>
      </c>
      <c r="I72" s="182"/>
    </row>
    <row r="73" spans="1:9" ht="63.75">
      <c r="A73" s="106" t="s">
        <v>527</v>
      </c>
      <c r="B73" s="92" t="s">
        <v>663</v>
      </c>
      <c r="C73" s="100"/>
      <c r="D73" s="100" t="s">
        <v>82</v>
      </c>
      <c r="E73" s="100" t="s">
        <v>154</v>
      </c>
      <c r="F73" s="100" t="s">
        <v>153</v>
      </c>
      <c r="G73" s="117">
        <f>G74</f>
        <v>12920.5</v>
      </c>
      <c r="H73" s="117">
        <f>H74</f>
        <v>0</v>
      </c>
      <c r="I73" s="182"/>
    </row>
    <row r="74" spans="1:9">
      <c r="A74" s="107" t="s">
        <v>205</v>
      </c>
      <c r="B74" s="92" t="s">
        <v>663</v>
      </c>
      <c r="C74" s="100" t="s">
        <v>202</v>
      </c>
      <c r="D74" s="100" t="s">
        <v>82</v>
      </c>
      <c r="E74" s="100" t="s">
        <v>154</v>
      </c>
      <c r="F74" s="100" t="s">
        <v>153</v>
      </c>
      <c r="G74" s="117">
        <f>'пр.8 2024-2026г'!G358</f>
        <v>12920.5</v>
      </c>
      <c r="H74" s="117">
        <f>'пр.8 2024-2026г'!H358</f>
        <v>0</v>
      </c>
      <c r="I74" s="182"/>
    </row>
    <row r="75" spans="1:9" ht="51" hidden="1">
      <c r="A75" s="106" t="s">
        <v>551</v>
      </c>
      <c r="B75" s="92" t="s">
        <v>743</v>
      </c>
      <c r="C75" s="280"/>
      <c r="D75" s="100" t="s">
        <v>82</v>
      </c>
      <c r="E75" s="100" t="s">
        <v>154</v>
      </c>
      <c r="F75" s="100" t="s">
        <v>153</v>
      </c>
      <c r="G75" s="117">
        <f>G76</f>
        <v>0</v>
      </c>
      <c r="H75" s="117">
        <f>H76</f>
        <v>0</v>
      </c>
      <c r="I75" s="182"/>
    </row>
    <row r="76" spans="1:9" hidden="1">
      <c r="A76" s="107" t="s">
        <v>205</v>
      </c>
      <c r="B76" s="92" t="s">
        <v>743</v>
      </c>
      <c r="C76" s="100" t="s">
        <v>202</v>
      </c>
      <c r="D76" s="100" t="s">
        <v>82</v>
      </c>
      <c r="E76" s="100" t="s">
        <v>154</v>
      </c>
      <c r="F76" s="100" t="s">
        <v>153</v>
      </c>
      <c r="G76" s="117"/>
      <c r="H76" s="117"/>
      <c r="I76" s="182"/>
    </row>
    <row r="77" spans="1:9" ht="63.75">
      <c r="A77" s="106" t="s">
        <v>552</v>
      </c>
      <c r="B77" s="100" t="s">
        <v>664</v>
      </c>
      <c r="C77" s="280"/>
      <c r="D77" s="100" t="s">
        <v>82</v>
      </c>
      <c r="E77" s="100" t="s">
        <v>154</v>
      </c>
      <c r="F77" s="100" t="s">
        <v>153</v>
      </c>
      <c r="G77" s="117">
        <f>G78</f>
        <v>12565.4</v>
      </c>
      <c r="H77" s="117">
        <f>H78</f>
        <v>0</v>
      </c>
      <c r="I77" s="182"/>
    </row>
    <row r="78" spans="1:9">
      <c r="A78" s="107" t="s">
        <v>205</v>
      </c>
      <c r="B78" s="100" t="s">
        <v>664</v>
      </c>
      <c r="C78" s="100" t="s">
        <v>202</v>
      </c>
      <c r="D78" s="100" t="s">
        <v>82</v>
      </c>
      <c r="E78" s="100" t="s">
        <v>154</v>
      </c>
      <c r="F78" s="100" t="s">
        <v>153</v>
      </c>
      <c r="G78" s="117">
        <f>'пр.8 2024-2026г'!G352</f>
        <v>12565.4</v>
      </c>
      <c r="H78" s="117">
        <f>'пр.8 2024-2026г'!H352</f>
        <v>0</v>
      </c>
      <c r="I78" s="182"/>
    </row>
    <row r="79" spans="1:9" ht="63.75">
      <c r="A79" s="106" t="s">
        <v>553</v>
      </c>
      <c r="B79" s="100" t="s">
        <v>664</v>
      </c>
      <c r="C79" s="280"/>
      <c r="D79" s="100" t="s">
        <v>82</v>
      </c>
      <c r="E79" s="100" t="s">
        <v>154</v>
      </c>
      <c r="F79" s="100" t="s">
        <v>153</v>
      </c>
      <c r="G79" s="117">
        <f>G80</f>
        <v>12565.4</v>
      </c>
      <c r="H79" s="117">
        <f>H80</f>
        <v>0</v>
      </c>
      <c r="I79" s="182"/>
    </row>
    <row r="80" spans="1:9">
      <c r="A80" s="107" t="s">
        <v>205</v>
      </c>
      <c r="B80" s="100" t="s">
        <v>664</v>
      </c>
      <c r="C80" s="100" t="s">
        <v>202</v>
      </c>
      <c r="D80" s="100" t="s">
        <v>82</v>
      </c>
      <c r="E80" s="100" t="s">
        <v>154</v>
      </c>
      <c r="F80" s="100" t="s">
        <v>153</v>
      </c>
      <c r="G80" s="117">
        <f>'пр.8 2024-2026г'!G354</f>
        <v>12565.4</v>
      </c>
      <c r="H80" s="117">
        <f>'пр.8 2024-2026г'!H354</f>
        <v>0</v>
      </c>
      <c r="I80" s="182"/>
    </row>
    <row r="81" spans="1:9" ht="89.25">
      <c r="A81" s="106" t="s">
        <v>733</v>
      </c>
      <c r="B81" s="92" t="s">
        <v>734</v>
      </c>
      <c r="C81" s="280"/>
      <c r="D81" s="100" t="s">
        <v>82</v>
      </c>
      <c r="E81" s="100" t="s">
        <v>154</v>
      </c>
      <c r="F81" s="100" t="s">
        <v>153</v>
      </c>
      <c r="G81" s="117">
        <f>G82</f>
        <v>1652.7</v>
      </c>
      <c r="H81" s="117">
        <f>H82</f>
        <v>0</v>
      </c>
      <c r="I81" s="182"/>
    </row>
    <row r="82" spans="1:9">
      <c r="A82" s="106" t="s">
        <v>378</v>
      </c>
      <c r="B82" s="92" t="s">
        <v>734</v>
      </c>
      <c r="C82" s="100" t="s">
        <v>202</v>
      </c>
      <c r="D82" s="100" t="s">
        <v>82</v>
      </c>
      <c r="E82" s="100" t="s">
        <v>154</v>
      </c>
      <c r="F82" s="100" t="s">
        <v>153</v>
      </c>
      <c r="G82" s="117">
        <f>'пр.8 2024-2026г'!G360</f>
        <v>1652.7</v>
      </c>
      <c r="H82" s="117">
        <f>'пр.8 2024-2026г'!H360</f>
        <v>0</v>
      </c>
      <c r="I82" s="182"/>
    </row>
    <row r="83" spans="1:9" ht="102">
      <c r="A83" s="106" t="s">
        <v>768</v>
      </c>
      <c r="B83" s="92" t="s">
        <v>734</v>
      </c>
      <c r="C83" s="280"/>
      <c r="D83" s="100" t="s">
        <v>82</v>
      </c>
      <c r="E83" s="100" t="s">
        <v>154</v>
      </c>
      <c r="F83" s="100" t="s">
        <v>153</v>
      </c>
      <c r="G83" s="117">
        <f>G84</f>
        <v>4.8</v>
      </c>
      <c r="H83" s="117">
        <f>H84</f>
        <v>0</v>
      </c>
      <c r="I83" s="182"/>
    </row>
    <row r="84" spans="1:9">
      <c r="A84" s="106" t="s">
        <v>378</v>
      </c>
      <c r="B84" s="92" t="s">
        <v>734</v>
      </c>
      <c r="C84" s="100" t="s">
        <v>202</v>
      </c>
      <c r="D84" s="100" t="s">
        <v>82</v>
      </c>
      <c r="E84" s="100" t="s">
        <v>154</v>
      </c>
      <c r="F84" s="100" t="s">
        <v>153</v>
      </c>
      <c r="G84" s="117">
        <f>'пр.8 2024-2026г'!G362</f>
        <v>4.8</v>
      </c>
      <c r="H84" s="117">
        <f>'пр.8 2024-2026г'!H362</f>
        <v>0</v>
      </c>
      <c r="I84" s="182"/>
    </row>
    <row r="85" spans="1:9" ht="51">
      <c r="A85" s="106" t="s">
        <v>738</v>
      </c>
      <c r="B85" s="92" t="s">
        <v>740</v>
      </c>
      <c r="C85" s="280"/>
      <c r="D85" s="100" t="s">
        <v>82</v>
      </c>
      <c r="E85" s="100" t="s">
        <v>154</v>
      </c>
      <c r="F85" s="100" t="s">
        <v>153</v>
      </c>
      <c r="G85" s="117">
        <f>G86</f>
        <v>27378.400000000001</v>
      </c>
      <c r="H85" s="117">
        <f>H86</f>
        <v>0</v>
      </c>
      <c r="I85" s="182"/>
    </row>
    <row r="86" spans="1:9">
      <c r="A86" s="106" t="s">
        <v>378</v>
      </c>
      <c r="B86" s="92" t="s">
        <v>740</v>
      </c>
      <c r="C86" s="100" t="s">
        <v>202</v>
      </c>
      <c r="D86" s="100" t="s">
        <v>82</v>
      </c>
      <c r="E86" s="100" t="s">
        <v>154</v>
      </c>
      <c r="F86" s="100" t="s">
        <v>153</v>
      </c>
      <c r="G86" s="117">
        <f>'пр.8 2024-2026г'!G364</f>
        <v>27378.400000000001</v>
      </c>
      <c r="H86" s="117">
        <f>'пр.8 2024-2026г'!H364</f>
        <v>0</v>
      </c>
      <c r="I86" s="182"/>
    </row>
    <row r="87" spans="1:9" ht="63.75">
      <c r="A87" s="106" t="s">
        <v>739</v>
      </c>
      <c r="B87" s="92" t="s">
        <v>740</v>
      </c>
      <c r="C87" s="280"/>
      <c r="D87" s="100" t="s">
        <v>82</v>
      </c>
      <c r="E87" s="100" t="s">
        <v>154</v>
      </c>
      <c r="F87" s="100" t="s">
        <v>153</v>
      </c>
      <c r="G87" s="117">
        <f>G88</f>
        <v>257.47219999999999</v>
      </c>
      <c r="H87" s="117">
        <f>H88</f>
        <v>0</v>
      </c>
      <c r="I87" s="182"/>
    </row>
    <row r="88" spans="1:9">
      <c r="A88" s="106" t="s">
        <v>378</v>
      </c>
      <c r="B88" s="92" t="s">
        <v>740</v>
      </c>
      <c r="C88" s="100" t="s">
        <v>202</v>
      </c>
      <c r="D88" s="100" t="s">
        <v>82</v>
      </c>
      <c r="E88" s="100" t="s">
        <v>154</v>
      </c>
      <c r="F88" s="100" t="s">
        <v>153</v>
      </c>
      <c r="G88" s="117">
        <f>'пр.8 2024-2026г'!G366</f>
        <v>257.47219999999999</v>
      </c>
      <c r="H88" s="117">
        <f>'пр.8 2024-2026г'!H366</f>
        <v>0</v>
      </c>
      <c r="I88" s="182"/>
    </row>
    <row r="89" spans="1:9" ht="51">
      <c r="A89" s="106" t="s">
        <v>554</v>
      </c>
      <c r="B89" s="100" t="s">
        <v>665</v>
      </c>
      <c r="C89" s="280"/>
      <c r="D89" s="100" t="s">
        <v>82</v>
      </c>
      <c r="E89" s="100" t="s">
        <v>154</v>
      </c>
      <c r="F89" s="100" t="s">
        <v>153</v>
      </c>
      <c r="G89" s="117">
        <f>G90</f>
        <v>33747.800000000003</v>
      </c>
      <c r="H89" s="117">
        <f>H90</f>
        <v>0</v>
      </c>
      <c r="I89" s="182"/>
    </row>
    <row r="90" spans="1:9">
      <c r="A90" s="107" t="s">
        <v>205</v>
      </c>
      <c r="B90" s="100" t="s">
        <v>665</v>
      </c>
      <c r="C90" s="100" t="s">
        <v>202</v>
      </c>
      <c r="D90" s="100" t="s">
        <v>82</v>
      </c>
      <c r="E90" s="100" t="s">
        <v>154</v>
      </c>
      <c r="F90" s="100" t="s">
        <v>153</v>
      </c>
      <c r="G90" s="117">
        <f>'пр.8 2024-2026г'!G368</f>
        <v>33747.800000000003</v>
      </c>
      <c r="H90" s="117">
        <f>'пр.8 2024-2026г'!H368</f>
        <v>0</v>
      </c>
      <c r="I90" s="182"/>
    </row>
    <row r="91" spans="1:9" ht="76.5">
      <c r="A91" s="263" t="s">
        <v>998</v>
      </c>
      <c r="B91" s="567" t="s">
        <v>999</v>
      </c>
      <c r="C91" s="92"/>
      <c r="D91" s="100" t="s">
        <v>82</v>
      </c>
      <c r="E91" s="100" t="s">
        <v>154</v>
      </c>
      <c r="F91" s="100" t="s">
        <v>156</v>
      </c>
      <c r="G91" s="117">
        <f>G92</f>
        <v>3213.8</v>
      </c>
      <c r="H91" s="117">
        <v>0</v>
      </c>
      <c r="I91" s="182"/>
    </row>
    <row r="92" spans="1:9">
      <c r="A92" s="107" t="s">
        <v>205</v>
      </c>
      <c r="B92" s="567" t="s">
        <v>999</v>
      </c>
      <c r="C92" s="92" t="s">
        <v>202</v>
      </c>
      <c r="D92" s="100" t="s">
        <v>82</v>
      </c>
      <c r="E92" s="100" t="s">
        <v>154</v>
      </c>
      <c r="F92" s="100" t="s">
        <v>156</v>
      </c>
      <c r="G92" s="117">
        <f>'пр.8 2024-2026г'!G484</f>
        <v>3213.8</v>
      </c>
      <c r="H92" s="117">
        <v>0</v>
      </c>
      <c r="I92" s="182"/>
    </row>
    <row r="93" spans="1:9" ht="25.5">
      <c r="A93" s="532" t="s">
        <v>969</v>
      </c>
      <c r="B93" s="690" t="s">
        <v>713</v>
      </c>
      <c r="C93" s="283"/>
      <c r="D93" s="283" t="s">
        <v>82</v>
      </c>
      <c r="E93" s="283" t="s">
        <v>154</v>
      </c>
      <c r="F93" s="283" t="s">
        <v>153</v>
      </c>
      <c r="G93" s="284">
        <f>G94</f>
        <v>787.48</v>
      </c>
      <c r="H93" s="284">
        <f>H94</f>
        <v>0</v>
      </c>
      <c r="I93" s="182"/>
    </row>
    <row r="94" spans="1:9" ht="25.5">
      <c r="A94" s="532" t="s">
        <v>720</v>
      </c>
      <c r="B94" s="690" t="s">
        <v>714</v>
      </c>
      <c r="C94" s="283"/>
      <c r="D94" s="283" t="s">
        <v>82</v>
      </c>
      <c r="E94" s="283" t="s">
        <v>154</v>
      </c>
      <c r="F94" s="283" t="s">
        <v>153</v>
      </c>
      <c r="G94" s="284">
        <f>G95+G97+G99</f>
        <v>787.48</v>
      </c>
      <c r="H94" s="284">
        <f>H95+H97+H99</f>
        <v>0</v>
      </c>
      <c r="I94" s="182"/>
    </row>
    <row r="95" spans="1:9" ht="25.5">
      <c r="A95" s="1" t="s">
        <v>763</v>
      </c>
      <c r="B95" s="567" t="s">
        <v>719</v>
      </c>
      <c r="C95" s="514"/>
      <c r="D95" s="100" t="s">
        <v>82</v>
      </c>
      <c r="E95" s="100" t="s">
        <v>154</v>
      </c>
      <c r="F95" s="100" t="s">
        <v>153</v>
      </c>
      <c r="G95" s="117">
        <f>G96</f>
        <v>152.19999999999999</v>
      </c>
      <c r="H95" s="117">
        <f>H96</f>
        <v>0</v>
      </c>
      <c r="I95" s="182"/>
    </row>
    <row r="96" spans="1:9">
      <c r="A96" s="106" t="s">
        <v>205</v>
      </c>
      <c r="B96" s="567" t="s">
        <v>719</v>
      </c>
      <c r="C96" s="514" t="s">
        <v>202</v>
      </c>
      <c r="D96" s="100" t="s">
        <v>82</v>
      </c>
      <c r="E96" s="100" t="s">
        <v>154</v>
      </c>
      <c r="F96" s="100" t="s">
        <v>153</v>
      </c>
      <c r="G96" s="117">
        <f>'пр.8 2024-2026г'!G376</f>
        <v>152.19999999999999</v>
      </c>
      <c r="H96" s="117">
        <f>'пр.8 2024-2026г'!H376</f>
        <v>0</v>
      </c>
      <c r="I96" s="182"/>
    </row>
    <row r="97" spans="1:9" ht="51">
      <c r="A97" s="107" t="s">
        <v>497</v>
      </c>
      <c r="B97" s="514" t="s">
        <v>716</v>
      </c>
      <c r="C97" s="689"/>
      <c r="D97" s="100" t="s">
        <v>82</v>
      </c>
      <c r="E97" s="100" t="s">
        <v>154</v>
      </c>
      <c r="F97" s="100" t="s">
        <v>153</v>
      </c>
      <c r="G97" s="117">
        <f>G98</f>
        <v>623</v>
      </c>
      <c r="H97" s="117">
        <f>H98</f>
        <v>0</v>
      </c>
      <c r="I97" s="182"/>
    </row>
    <row r="98" spans="1:9">
      <c r="A98" s="106" t="s">
        <v>205</v>
      </c>
      <c r="B98" s="514" t="s">
        <v>716</v>
      </c>
      <c r="C98" s="514" t="s">
        <v>202</v>
      </c>
      <c r="D98" s="100" t="s">
        <v>82</v>
      </c>
      <c r="E98" s="100" t="s">
        <v>154</v>
      </c>
      <c r="F98" s="100" t="s">
        <v>153</v>
      </c>
      <c r="G98" s="117">
        <f>'пр.8 2024-2026г'!G378</f>
        <v>623</v>
      </c>
      <c r="H98" s="117">
        <f>'пр.8 2024-2026г'!H378</f>
        <v>0</v>
      </c>
      <c r="I98" s="182"/>
    </row>
    <row r="99" spans="1:9" ht="63.75">
      <c r="A99" s="107" t="s">
        <v>498</v>
      </c>
      <c r="B99" s="514" t="s">
        <v>716</v>
      </c>
      <c r="C99" s="689"/>
      <c r="D99" s="100" t="s">
        <v>82</v>
      </c>
      <c r="E99" s="100" t="s">
        <v>154</v>
      </c>
      <c r="F99" s="100" t="s">
        <v>153</v>
      </c>
      <c r="G99" s="117">
        <f>G100</f>
        <v>12.28</v>
      </c>
      <c r="H99" s="117">
        <f>H100</f>
        <v>0</v>
      </c>
      <c r="I99" s="182"/>
    </row>
    <row r="100" spans="1:9">
      <c r="A100" s="106" t="s">
        <v>378</v>
      </c>
      <c r="B100" s="514" t="s">
        <v>716</v>
      </c>
      <c r="C100" s="514" t="s">
        <v>202</v>
      </c>
      <c r="D100" s="100" t="s">
        <v>82</v>
      </c>
      <c r="E100" s="100" t="s">
        <v>154</v>
      </c>
      <c r="F100" s="100" t="s">
        <v>153</v>
      </c>
      <c r="G100" s="117">
        <f>'пр.8 2024-2026г'!G380</f>
        <v>12.28</v>
      </c>
      <c r="H100" s="117">
        <f>'пр.8 2024-2026г'!H380</f>
        <v>0</v>
      </c>
      <c r="I100" s="182"/>
    </row>
    <row r="101" spans="1:9" ht="51">
      <c r="A101" s="285" t="s">
        <v>352</v>
      </c>
      <c r="B101" s="283" t="s">
        <v>592</v>
      </c>
      <c r="C101" s="286"/>
      <c r="D101" s="283" t="s">
        <v>82</v>
      </c>
      <c r="E101" s="283" t="s">
        <v>677</v>
      </c>
      <c r="F101" s="283" t="s">
        <v>155</v>
      </c>
      <c r="G101" s="284">
        <f>G102</f>
        <v>22452.45</v>
      </c>
      <c r="H101" s="284">
        <f>H102</f>
        <v>0</v>
      </c>
      <c r="I101" s="182"/>
    </row>
    <row r="102" spans="1:9" ht="38.25">
      <c r="A102" s="423" t="s">
        <v>593</v>
      </c>
      <c r="B102" s="514" t="s">
        <v>594</v>
      </c>
      <c r="C102" s="514"/>
      <c r="D102" s="100" t="s">
        <v>82</v>
      </c>
      <c r="E102" s="100" t="s">
        <v>154</v>
      </c>
      <c r="F102" s="100" t="s">
        <v>155</v>
      </c>
      <c r="G102" s="117">
        <f>G103+G109+G111+G115</f>
        <v>22452.45</v>
      </c>
      <c r="H102" s="117">
        <f>H103+H109+H111+H115</f>
        <v>0</v>
      </c>
      <c r="I102" s="182"/>
    </row>
    <row r="103" spans="1:9" ht="38.25">
      <c r="A103" s="263" t="s">
        <v>292</v>
      </c>
      <c r="B103" s="265" t="s">
        <v>724</v>
      </c>
      <c r="C103" s="514"/>
      <c r="D103" s="100" t="s">
        <v>82</v>
      </c>
      <c r="E103" s="100" t="s">
        <v>154</v>
      </c>
      <c r="F103" s="100" t="s">
        <v>155</v>
      </c>
      <c r="G103" s="117">
        <f>G104</f>
        <v>4975.6000000000004</v>
      </c>
      <c r="H103" s="117">
        <f>H104</f>
        <v>0</v>
      </c>
      <c r="I103" s="182"/>
    </row>
    <row r="104" spans="1:9">
      <c r="A104" s="106" t="s">
        <v>203</v>
      </c>
      <c r="B104" s="265" t="s">
        <v>666</v>
      </c>
      <c r="C104" s="100" t="s">
        <v>319</v>
      </c>
      <c r="D104" s="100" t="s">
        <v>82</v>
      </c>
      <c r="E104" s="100" t="s">
        <v>154</v>
      </c>
      <c r="F104" s="100" t="s">
        <v>155</v>
      </c>
      <c r="G104" s="117">
        <f>'пр.8 2024-2026г'!G424</f>
        <v>4975.6000000000004</v>
      </c>
      <c r="H104" s="117">
        <f>'пр.8 2024-2026г'!H424</f>
        <v>0</v>
      </c>
      <c r="I104" s="182"/>
    </row>
    <row r="105" spans="1:9" ht="38.25" hidden="1">
      <c r="A105" s="107" t="s">
        <v>520</v>
      </c>
      <c r="B105" s="100" t="s">
        <v>667</v>
      </c>
      <c r="C105" s="100"/>
      <c r="D105" s="100" t="s">
        <v>82</v>
      </c>
      <c r="E105" s="100" t="s">
        <v>154</v>
      </c>
      <c r="F105" s="100" t="s">
        <v>155</v>
      </c>
      <c r="G105" s="117"/>
      <c r="H105" s="117"/>
      <c r="I105" s="182"/>
    </row>
    <row r="106" spans="1:9" hidden="1">
      <c r="A106" s="107" t="s">
        <v>205</v>
      </c>
      <c r="B106" s="100" t="s">
        <v>667</v>
      </c>
      <c r="C106" s="100" t="s">
        <v>202</v>
      </c>
      <c r="D106" s="100" t="s">
        <v>82</v>
      </c>
      <c r="E106" s="100" t="s">
        <v>154</v>
      </c>
      <c r="F106" s="100" t="s">
        <v>155</v>
      </c>
      <c r="G106" s="117"/>
      <c r="H106" s="117"/>
      <c r="I106" s="182"/>
    </row>
    <row r="107" spans="1:9" ht="51" hidden="1">
      <c r="A107" s="107" t="s">
        <v>532</v>
      </c>
      <c r="B107" s="100" t="s">
        <v>667</v>
      </c>
      <c r="C107" s="100"/>
      <c r="D107" s="100" t="s">
        <v>82</v>
      </c>
      <c r="E107" s="100" t="s">
        <v>154</v>
      </c>
      <c r="F107" s="100" t="s">
        <v>155</v>
      </c>
      <c r="G107" s="117"/>
      <c r="H107" s="117"/>
      <c r="I107" s="182"/>
    </row>
    <row r="108" spans="1:9" hidden="1">
      <c r="A108" s="107" t="s">
        <v>205</v>
      </c>
      <c r="B108" s="100" t="s">
        <v>667</v>
      </c>
      <c r="C108" s="100" t="s">
        <v>202</v>
      </c>
      <c r="D108" s="100" t="s">
        <v>82</v>
      </c>
      <c r="E108" s="100" t="s">
        <v>154</v>
      </c>
      <c r="F108" s="100" t="s">
        <v>155</v>
      </c>
      <c r="G108" s="117"/>
      <c r="H108" s="117"/>
      <c r="I108" s="182"/>
    </row>
    <row r="109" spans="1:9" ht="38.25">
      <c r="A109" s="482" t="s">
        <v>125</v>
      </c>
      <c r="B109" s="100" t="s">
        <v>668</v>
      </c>
      <c r="C109" s="100"/>
      <c r="D109" s="100" t="s">
        <v>82</v>
      </c>
      <c r="E109" s="100" t="s">
        <v>154</v>
      </c>
      <c r="F109" s="100" t="s">
        <v>155</v>
      </c>
      <c r="G109" s="117">
        <f>G110</f>
        <v>10916.6</v>
      </c>
      <c r="H109" s="117">
        <f>H110</f>
        <v>0</v>
      </c>
      <c r="I109" s="182"/>
    </row>
    <row r="110" spans="1:9">
      <c r="A110" s="107" t="s">
        <v>205</v>
      </c>
      <c r="B110" s="100" t="s">
        <v>668</v>
      </c>
      <c r="C110" s="100" t="s">
        <v>202</v>
      </c>
      <c r="D110" s="100" t="s">
        <v>82</v>
      </c>
      <c r="E110" s="100" t="s">
        <v>154</v>
      </c>
      <c r="F110" s="100" t="s">
        <v>155</v>
      </c>
      <c r="G110" s="117">
        <f>'пр.8 2024-2026г'!G420</f>
        <v>10916.6</v>
      </c>
      <c r="H110" s="117">
        <f>'пр.8 2024-2026г'!H420</f>
        <v>0</v>
      </c>
      <c r="I110" s="182"/>
    </row>
    <row r="111" spans="1:9" ht="51">
      <c r="A111" s="482" t="s">
        <v>491</v>
      </c>
      <c r="B111" s="100" t="s">
        <v>668</v>
      </c>
      <c r="C111" s="100"/>
      <c r="D111" s="100" t="s">
        <v>82</v>
      </c>
      <c r="E111" s="100" t="s">
        <v>154</v>
      </c>
      <c r="F111" s="100" t="s">
        <v>155</v>
      </c>
      <c r="G111" s="117">
        <f>G112</f>
        <v>6460.25</v>
      </c>
      <c r="H111" s="117">
        <f>H112</f>
        <v>0</v>
      </c>
      <c r="I111" s="182"/>
    </row>
    <row r="112" spans="1:9">
      <c r="A112" s="107" t="s">
        <v>205</v>
      </c>
      <c r="B112" s="100" t="s">
        <v>668</v>
      </c>
      <c r="C112" s="100" t="s">
        <v>202</v>
      </c>
      <c r="D112" s="100" t="s">
        <v>82</v>
      </c>
      <c r="E112" s="100" t="s">
        <v>154</v>
      </c>
      <c r="F112" s="100" t="s">
        <v>155</v>
      </c>
      <c r="G112" s="117">
        <f>'пр.8 2024-2026г'!G422</f>
        <v>6460.25</v>
      </c>
      <c r="H112" s="117">
        <f>'пр.8 2024-2026г'!H422</f>
        <v>0</v>
      </c>
      <c r="I112" s="182"/>
    </row>
    <row r="113" spans="1:9" ht="76.5" hidden="1">
      <c r="A113" s="483" t="s">
        <v>570</v>
      </c>
      <c r="B113" s="100" t="s">
        <v>718</v>
      </c>
      <c r="C113" s="100"/>
      <c r="D113" s="100" t="s">
        <v>82</v>
      </c>
      <c r="E113" s="100" t="s">
        <v>154</v>
      </c>
      <c r="F113" s="100" t="s">
        <v>155</v>
      </c>
      <c r="G113" s="117"/>
      <c r="H113" s="117"/>
      <c r="I113" s="182"/>
    </row>
    <row r="114" spans="1:9" ht="15.75" hidden="1" customHeight="1">
      <c r="A114" s="107" t="s">
        <v>205</v>
      </c>
      <c r="B114" s="100" t="s">
        <v>718</v>
      </c>
      <c r="C114" s="100" t="s">
        <v>202</v>
      </c>
      <c r="D114" s="100" t="s">
        <v>82</v>
      </c>
      <c r="E114" s="100" t="s">
        <v>154</v>
      </c>
      <c r="F114" s="100" t="s">
        <v>155</v>
      </c>
      <c r="G114" s="117"/>
      <c r="H114" s="117"/>
      <c r="I114" s="182"/>
    </row>
    <row r="115" spans="1:9" ht="229.5">
      <c r="A115" s="21" t="s">
        <v>525</v>
      </c>
      <c r="B115" s="529" t="s">
        <v>669</v>
      </c>
      <c r="C115" s="100"/>
      <c r="D115" s="100" t="s">
        <v>82</v>
      </c>
      <c r="E115" s="100" t="s">
        <v>157</v>
      </c>
      <c r="F115" s="100" t="s">
        <v>155</v>
      </c>
      <c r="G115" s="117">
        <f>G116</f>
        <v>100</v>
      </c>
      <c r="H115" s="117">
        <f>H116</f>
        <v>0</v>
      </c>
      <c r="I115" s="182"/>
    </row>
    <row r="116" spans="1:9">
      <c r="A116" s="107" t="s">
        <v>205</v>
      </c>
      <c r="B116" s="529" t="s">
        <v>669</v>
      </c>
      <c r="C116" s="100" t="s">
        <v>202</v>
      </c>
      <c r="D116" s="100" t="s">
        <v>82</v>
      </c>
      <c r="E116" s="100" t="s">
        <v>157</v>
      </c>
      <c r="F116" s="100" t="s">
        <v>155</v>
      </c>
      <c r="G116" s="117">
        <v>100</v>
      </c>
      <c r="H116" s="117">
        <v>0</v>
      </c>
      <c r="I116" s="182"/>
    </row>
    <row r="117" spans="1:9" ht="38.25">
      <c r="A117" s="285" t="s">
        <v>353</v>
      </c>
      <c r="B117" s="525" t="s">
        <v>597</v>
      </c>
      <c r="C117" s="286"/>
      <c r="D117" s="283" t="s">
        <v>82</v>
      </c>
      <c r="E117" s="283" t="s">
        <v>154</v>
      </c>
      <c r="F117" s="283" t="s">
        <v>154</v>
      </c>
      <c r="G117" s="284">
        <f>G118</f>
        <v>11294.4</v>
      </c>
      <c r="H117" s="284">
        <f>H118</f>
        <v>0</v>
      </c>
      <c r="I117" s="182"/>
    </row>
    <row r="118" spans="1:9" ht="25.5">
      <c r="A118" s="285" t="s">
        <v>591</v>
      </c>
      <c r="B118" s="525" t="s">
        <v>598</v>
      </c>
      <c r="C118" s="286"/>
      <c r="D118" s="283" t="s">
        <v>82</v>
      </c>
      <c r="E118" s="283" t="s">
        <v>154</v>
      </c>
      <c r="F118" s="283" t="s">
        <v>154</v>
      </c>
      <c r="G118" s="284">
        <f>G119+G120+G126+G129</f>
        <v>11294.4</v>
      </c>
      <c r="H118" s="284">
        <f>H119+H120+H126+H129</f>
        <v>0</v>
      </c>
      <c r="I118" s="182"/>
    </row>
    <row r="119" spans="1:9">
      <c r="A119" s="109" t="s">
        <v>267</v>
      </c>
      <c r="B119" s="265" t="s">
        <v>670</v>
      </c>
      <c r="C119" s="100" t="s">
        <v>320</v>
      </c>
      <c r="D119" s="100" t="s">
        <v>82</v>
      </c>
      <c r="E119" s="100" t="s">
        <v>154</v>
      </c>
      <c r="F119" s="100" t="s">
        <v>154</v>
      </c>
      <c r="G119" s="117">
        <f>'пр.8 2024-2026г'!G436</f>
        <v>3512.6</v>
      </c>
      <c r="H119" s="117">
        <f>'пр.8 2024-2026г'!H436</f>
        <v>0</v>
      </c>
      <c r="I119" s="182"/>
    </row>
    <row r="120" spans="1:9" ht="38.25">
      <c r="A120" s="40" t="s">
        <v>126</v>
      </c>
      <c r="B120" s="100" t="s">
        <v>671</v>
      </c>
      <c r="C120" s="280"/>
      <c r="D120" s="100" t="s">
        <v>82</v>
      </c>
      <c r="E120" s="100" t="s">
        <v>154</v>
      </c>
      <c r="F120" s="100" t="s">
        <v>154</v>
      </c>
      <c r="G120" s="117">
        <f>G121</f>
        <v>3247.2</v>
      </c>
      <c r="H120" s="117">
        <f>H121</f>
        <v>0</v>
      </c>
      <c r="I120" s="182"/>
    </row>
    <row r="121" spans="1:9" ht="38.25">
      <c r="A121" s="40" t="s">
        <v>340</v>
      </c>
      <c r="B121" s="100" t="s">
        <v>671</v>
      </c>
      <c r="C121" s="100" t="s">
        <v>273</v>
      </c>
      <c r="D121" s="100" t="s">
        <v>82</v>
      </c>
      <c r="E121" s="100" t="s">
        <v>154</v>
      </c>
      <c r="F121" s="100" t="s">
        <v>154</v>
      </c>
      <c r="G121" s="117">
        <f>'пр.8 2024-2026г'!G438</f>
        <v>3247.2</v>
      </c>
      <c r="H121" s="117">
        <f>'пр.8 2024-2026г'!H438</f>
        <v>0</v>
      </c>
      <c r="I121" s="182"/>
    </row>
    <row r="122" spans="1:9" hidden="1">
      <c r="A122" s="107" t="s">
        <v>205</v>
      </c>
      <c r="B122" s="100" t="s">
        <v>671</v>
      </c>
      <c r="C122" s="100" t="s">
        <v>202</v>
      </c>
      <c r="D122" s="100" t="s">
        <v>82</v>
      </c>
      <c r="E122" s="100" t="s">
        <v>154</v>
      </c>
      <c r="F122" s="100" t="s">
        <v>154</v>
      </c>
      <c r="G122" s="117"/>
      <c r="H122" s="117"/>
      <c r="I122" s="182"/>
    </row>
    <row r="123" spans="1:9" ht="153" hidden="1">
      <c r="A123" s="40" t="s">
        <v>534</v>
      </c>
      <c r="B123" s="100" t="s">
        <v>671</v>
      </c>
      <c r="C123" s="100"/>
      <c r="D123" s="100" t="s">
        <v>82</v>
      </c>
      <c r="E123" s="100" t="s">
        <v>154</v>
      </c>
      <c r="F123" s="100" t="s">
        <v>154</v>
      </c>
      <c r="G123" s="117"/>
      <c r="H123" s="117"/>
      <c r="I123" s="182"/>
    </row>
    <row r="124" spans="1:9" ht="38.25" hidden="1">
      <c r="A124" s="40" t="s">
        <v>340</v>
      </c>
      <c r="B124" s="100" t="s">
        <v>671</v>
      </c>
      <c r="C124" s="100" t="s">
        <v>273</v>
      </c>
      <c r="D124" s="100" t="s">
        <v>82</v>
      </c>
      <c r="E124" s="100" t="s">
        <v>154</v>
      </c>
      <c r="F124" s="100" t="s">
        <v>154</v>
      </c>
      <c r="G124" s="117"/>
      <c r="H124" s="117"/>
      <c r="I124" s="182"/>
    </row>
    <row r="125" spans="1:9" hidden="1">
      <c r="A125" s="107" t="s">
        <v>205</v>
      </c>
      <c r="B125" s="100" t="s">
        <v>671</v>
      </c>
      <c r="C125" s="100" t="s">
        <v>202</v>
      </c>
      <c r="D125" s="100" t="s">
        <v>82</v>
      </c>
      <c r="E125" s="100" t="s">
        <v>154</v>
      </c>
      <c r="F125" s="100" t="s">
        <v>154</v>
      </c>
      <c r="G125" s="117"/>
      <c r="H125" s="117"/>
      <c r="I125" s="182"/>
    </row>
    <row r="126" spans="1:9" ht="38.25">
      <c r="A126" s="40" t="s">
        <v>568</v>
      </c>
      <c r="B126" s="265" t="s">
        <v>672</v>
      </c>
      <c r="C126" s="280"/>
      <c r="D126" s="100" t="s">
        <v>82</v>
      </c>
      <c r="E126" s="100" t="s">
        <v>154</v>
      </c>
      <c r="F126" s="100" t="s">
        <v>154</v>
      </c>
      <c r="G126" s="117">
        <f>G127</f>
        <v>4467.6000000000004</v>
      </c>
      <c r="H126" s="117">
        <f>H127</f>
        <v>0</v>
      </c>
      <c r="I126" s="182"/>
    </row>
    <row r="127" spans="1:9" ht="38.25">
      <c r="A127" s="40" t="s">
        <v>340</v>
      </c>
      <c r="B127" s="265" t="s">
        <v>672</v>
      </c>
      <c r="C127" s="100" t="s">
        <v>273</v>
      </c>
      <c r="D127" s="100" t="s">
        <v>82</v>
      </c>
      <c r="E127" s="100" t="s">
        <v>154</v>
      </c>
      <c r="F127" s="100" t="s">
        <v>154</v>
      </c>
      <c r="G127" s="117">
        <f>'пр.8 2024-2026г'!G440</f>
        <v>4467.6000000000004</v>
      </c>
      <c r="H127" s="117">
        <f>'пр.8 2024-2026г'!H440</f>
        <v>0</v>
      </c>
      <c r="I127" s="182"/>
    </row>
    <row r="128" spans="1:9" hidden="1">
      <c r="A128" s="107" t="s">
        <v>205</v>
      </c>
      <c r="B128" s="265" t="s">
        <v>672</v>
      </c>
      <c r="C128" s="100" t="s">
        <v>202</v>
      </c>
      <c r="D128" s="100" t="s">
        <v>82</v>
      </c>
      <c r="E128" s="100" t="s">
        <v>154</v>
      </c>
      <c r="F128" s="100" t="s">
        <v>154</v>
      </c>
      <c r="G128" s="117"/>
      <c r="H128" s="117"/>
      <c r="I128" s="182"/>
    </row>
    <row r="129" spans="1:9" ht="38.25">
      <c r="A129" s="106" t="s">
        <v>569</v>
      </c>
      <c r="B129" s="265" t="s">
        <v>673</v>
      </c>
      <c r="C129" s="100"/>
      <c r="D129" s="100" t="s">
        <v>82</v>
      </c>
      <c r="E129" s="100" t="s">
        <v>154</v>
      </c>
      <c r="F129" s="100" t="s">
        <v>154</v>
      </c>
      <c r="G129" s="117">
        <f>G130+G131</f>
        <v>67</v>
      </c>
      <c r="H129" s="117">
        <f>H130+H131</f>
        <v>0</v>
      </c>
      <c r="I129" s="182"/>
    </row>
    <row r="130" spans="1:9" ht="63.75">
      <c r="A130" s="106" t="s">
        <v>112</v>
      </c>
      <c r="B130" s="265" t="s">
        <v>673</v>
      </c>
      <c r="C130" s="100" t="s">
        <v>332</v>
      </c>
      <c r="D130" s="100" t="s">
        <v>82</v>
      </c>
      <c r="E130" s="100" t="s">
        <v>154</v>
      </c>
      <c r="F130" s="100" t="s">
        <v>154</v>
      </c>
      <c r="G130" s="117">
        <f>'пр.8 2024-2026г'!G442</f>
        <v>51.459290000000003</v>
      </c>
      <c r="H130" s="117">
        <f>'пр.8 2024-2026г'!H442</f>
        <v>0</v>
      </c>
      <c r="I130" s="182"/>
    </row>
    <row r="131" spans="1:9" ht="25.5">
      <c r="A131" s="106" t="s">
        <v>423</v>
      </c>
      <c r="B131" s="265" t="s">
        <v>673</v>
      </c>
      <c r="C131" s="265">
        <v>119</v>
      </c>
      <c r="D131" s="100" t="s">
        <v>82</v>
      </c>
      <c r="E131" s="100" t="s">
        <v>154</v>
      </c>
      <c r="F131" s="100" t="s">
        <v>154</v>
      </c>
      <c r="G131" s="117">
        <f>'пр.8 2024-2026г'!G443</f>
        <v>15.540710000000001</v>
      </c>
      <c r="H131" s="117">
        <f>'пр.8 2024-2026г'!H443</f>
        <v>0</v>
      </c>
      <c r="I131" s="182"/>
    </row>
    <row r="132" spans="1:9" ht="38.25" hidden="1">
      <c r="A132" s="110" t="s">
        <v>209</v>
      </c>
      <c r="B132" s="265" t="s">
        <v>673</v>
      </c>
      <c r="C132" s="265">
        <v>244</v>
      </c>
      <c r="D132" s="100" t="s">
        <v>82</v>
      </c>
      <c r="E132" s="100" t="s">
        <v>154</v>
      </c>
      <c r="F132" s="100" t="s">
        <v>154</v>
      </c>
      <c r="G132" s="117"/>
      <c r="H132" s="117"/>
      <c r="I132" s="182"/>
    </row>
    <row r="133" spans="1:9" ht="51" hidden="1">
      <c r="A133" s="560" t="s">
        <v>704</v>
      </c>
      <c r="B133" s="561" t="s">
        <v>715</v>
      </c>
      <c r="C133" s="561"/>
      <c r="D133" s="562" t="s">
        <v>82</v>
      </c>
      <c r="E133" s="562" t="s">
        <v>154</v>
      </c>
      <c r="F133" s="562" t="s">
        <v>152</v>
      </c>
      <c r="G133" s="117"/>
      <c r="H133" s="117"/>
      <c r="I133" s="182"/>
    </row>
    <row r="134" spans="1:9" ht="38.25" hidden="1">
      <c r="A134" s="560" t="s">
        <v>705</v>
      </c>
      <c r="B134" s="561" t="s">
        <v>712</v>
      </c>
      <c r="C134" s="561"/>
      <c r="D134" s="562" t="s">
        <v>82</v>
      </c>
      <c r="E134" s="562" t="s">
        <v>154</v>
      </c>
      <c r="F134" s="562" t="s">
        <v>152</v>
      </c>
      <c r="G134" s="117"/>
      <c r="H134" s="117"/>
      <c r="I134" s="182"/>
    </row>
    <row r="135" spans="1:9" hidden="1">
      <c r="A135" s="106" t="s">
        <v>378</v>
      </c>
      <c r="B135" s="100" t="s">
        <v>710</v>
      </c>
      <c r="C135" s="567">
        <v>612</v>
      </c>
      <c r="D135" s="514" t="s">
        <v>82</v>
      </c>
      <c r="E135" s="514" t="s">
        <v>154</v>
      </c>
      <c r="F135" s="514" t="s">
        <v>152</v>
      </c>
      <c r="G135" s="117"/>
      <c r="H135" s="117"/>
      <c r="I135" s="182"/>
    </row>
    <row r="136" spans="1:9" hidden="1">
      <c r="A136" s="107" t="s">
        <v>269</v>
      </c>
      <c r="B136" s="100" t="s">
        <v>710</v>
      </c>
      <c r="C136" s="567">
        <v>622</v>
      </c>
      <c r="D136" s="514" t="s">
        <v>82</v>
      </c>
      <c r="E136" s="514" t="s">
        <v>154</v>
      </c>
      <c r="F136" s="514" t="s">
        <v>152</v>
      </c>
      <c r="G136" s="117"/>
      <c r="H136" s="117"/>
      <c r="I136" s="182"/>
    </row>
    <row r="137" spans="1:9" hidden="1">
      <c r="A137" s="106" t="s">
        <v>378</v>
      </c>
      <c r="B137" s="100" t="s">
        <v>710</v>
      </c>
      <c r="C137" s="567">
        <v>612</v>
      </c>
      <c r="D137" s="514" t="s">
        <v>82</v>
      </c>
      <c r="E137" s="514" t="s">
        <v>154</v>
      </c>
      <c r="F137" s="514" t="s">
        <v>153</v>
      </c>
      <c r="G137" s="117"/>
      <c r="H137" s="117"/>
      <c r="I137" s="182"/>
    </row>
    <row r="138" spans="1:9" hidden="1">
      <c r="A138" s="106" t="s">
        <v>378</v>
      </c>
      <c r="B138" s="100" t="s">
        <v>710</v>
      </c>
      <c r="C138" s="567">
        <v>612</v>
      </c>
      <c r="D138" s="514" t="s">
        <v>82</v>
      </c>
      <c r="E138" s="514" t="s">
        <v>154</v>
      </c>
      <c r="F138" s="514" t="s">
        <v>155</v>
      </c>
      <c r="G138" s="117"/>
      <c r="H138" s="117"/>
      <c r="I138" s="182"/>
    </row>
    <row r="139" spans="1:9" hidden="1">
      <c r="A139" s="107" t="s">
        <v>269</v>
      </c>
      <c r="B139" s="100" t="s">
        <v>710</v>
      </c>
      <c r="C139" s="567">
        <v>622</v>
      </c>
      <c r="D139" s="514" t="s">
        <v>82</v>
      </c>
      <c r="E139" s="514" t="s">
        <v>154</v>
      </c>
      <c r="F139" s="514" t="s">
        <v>154</v>
      </c>
      <c r="G139" s="117"/>
      <c r="H139" s="117"/>
      <c r="I139" s="182"/>
    </row>
    <row r="140" spans="1:9" ht="38.25">
      <c r="A140" s="388" t="s">
        <v>346</v>
      </c>
      <c r="B140" s="530" t="s">
        <v>675</v>
      </c>
      <c r="C140" s="389"/>
      <c r="D140" s="283" t="s">
        <v>82</v>
      </c>
      <c r="E140" s="283" t="s">
        <v>154</v>
      </c>
      <c r="F140" s="283" t="s">
        <v>156</v>
      </c>
      <c r="G140" s="284">
        <f>G141</f>
        <v>300</v>
      </c>
      <c r="H140" s="284">
        <f>H141</f>
        <v>0</v>
      </c>
      <c r="I140" s="182"/>
    </row>
    <row r="141" spans="1:9" ht="38.25">
      <c r="A141" s="388" t="s">
        <v>604</v>
      </c>
      <c r="B141" s="530" t="s">
        <v>674</v>
      </c>
      <c r="C141" s="389"/>
      <c r="D141" s="283" t="s">
        <v>82</v>
      </c>
      <c r="E141" s="283" t="s">
        <v>154</v>
      </c>
      <c r="F141" s="283" t="s">
        <v>156</v>
      </c>
      <c r="G141" s="284">
        <f>G142</f>
        <v>300</v>
      </c>
      <c r="H141" s="284">
        <f>H142</f>
        <v>0</v>
      </c>
      <c r="I141" s="182"/>
    </row>
    <row r="142" spans="1:9" ht="38.25">
      <c r="A142" s="531" t="s">
        <v>209</v>
      </c>
      <c r="B142" s="92" t="s">
        <v>674</v>
      </c>
      <c r="C142" s="92" t="s">
        <v>312</v>
      </c>
      <c r="D142" s="100" t="s">
        <v>82</v>
      </c>
      <c r="E142" s="100" t="s">
        <v>154</v>
      </c>
      <c r="F142" s="100" t="s">
        <v>156</v>
      </c>
      <c r="G142" s="117">
        <f>'пр.8 2024-2026г'!G457</f>
        <v>300</v>
      </c>
      <c r="H142" s="117">
        <f>'пр.8 2024-2026г'!H457</f>
        <v>0</v>
      </c>
      <c r="I142" s="182"/>
    </row>
    <row r="143" spans="1:9" ht="38.25">
      <c r="A143" s="532" t="s">
        <v>1007</v>
      </c>
      <c r="B143" s="692" t="s">
        <v>607</v>
      </c>
      <c r="C143" s="283"/>
      <c r="D143" s="283" t="s">
        <v>82</v>
      </c>
      <c r="E143" s="283" t="s">
        <v>154</v>
      </c>
      <c r="F143" s="283" t="s">
        <v>156</v>
      </c>
      <c r="G143" s="284">
        <f>G144</f>
        <v>37264.952939999996</v>
      </c>
      <c r="H143" s="284">
        <f>H144</f>
        <v>0</v>
      </c>
      <c r="I143" s="182"/>
    </row>
    <row r="144" spans="1:9" ht="51">
      <c r="A144" s="110" t="s">
        <v>606</v>
      </c>
      <c r="B144" s="504" t="s">
        <v>608</v>
      </c>
      <c r="C144" s="92"/>
      <c r="D144" s="100" t="s">
        <v>82</v>
      </c>
      <c r="E144" s="100" t="s">
        <v>154</v>
      </c>
      <c r="F144" s="100" t="s">
        <v>156</v>
      </c>
      <c r="G144" s="117">
        <f>G145+G148+G158+G161</f>
        <v>37264.952939999996</v>
      </c>
      <c r="H144" s="117">
        <f>H145+H148+H158+H161</f>
        <v>0</v>
      </c>
      <c r="I144" s="182"/>
    </row>
    <row r="145" spans="1:9" ht="51">
      <c r="A145" s="110" t="s">
        <v>606</v>
      </c>
      <c r="B145" s="92" t="s">
        <v>610</v>
      </c>
      <c r="C145" s="114"/>
      <c r="D145" s="100" t="s">
        <v>82</v>
      </c>
      <c r="E145" s="100" t="s">
        <v>154</v>
      </c>
      <c r="F145" s="100" t="s">
        <v>156</v>
      </c>
      <c r="G145" s="117">
        <f>G146+G147</f>
        <v>1384.09266</v>
      </c>
      <c r="H145" s="117">
        <f>H146+H147</f>
        <v>0</v>
      </c>
      <c r="I145" s="182"/>
    </row>
    <row r="146" spans="1:9" ht="25.5">
      <c r="A146" s="106" t="s">
        <v>324</v>
      </c>
      <c r="B146" s="92" t="s">
        <v>610</v>
      </c>
      <c r="C146" s="424">
        <v>121</v>
      </c>
      <c r="D146" s="100" t="s">
        <v>82</v>
      </c>
      <c r="E146" s="100" t="s">
        <v>154</v>
      </c>
      <c r="F146" s="100" t="s">
        <v>156</v>
      </c>
      <c r="G146" s="117">
        <f>'пр.8 2024-2026г'!G463</f>
        <v>1063.0512000000001</v>
      </c>
      <c r="H146" s="117">
        <f>'пр.8 2024-2026г'!H463</f>
        <v>0</v>
      </c>
      <c r="I146" s="182"/>
    </row>
    <row r="147" spans="1:9" ht="51">
      <c r="A147" s="462" t="s">
        <v>325</v>
      </c>
      <c r="B147" s="92" t="s">
        <v>610</v>
      </c>
      <c r="C147" s="424">
        <v>129</v>
      </c>
      <c r="D147" s="100" t="s">
        <v>82</v>
      </c>
      <c r="E147" s="100" t="s">
        <v>154</v>
      </c>
      <c r="F147" s="100" t="s">
        <v>156</v>
      </c>
      <c r="G147" s="117">
        <f>'пр.8 2024-2026г'!G464</f>
        <v>321.04145999999997</v>
      </c>
      <c r="H147" s="117">
        <f>'пр.8 2024-2026г'!H464</f>
        <v>0</v>
      </c>
      <c r="I147" s="182"/>
    </row>
    <row r="148" spans="1:9" ht="51">
      <c r="A148" s="40" t="s">
        <v>293</v>
      </c>
      <c r="B148" s="92" t="s">
        <v>634</v>
      </c>
      <c r="C148" s="114"/>
      <c r="D148" s="100" t="s">
        <v>82</v>
      </c>
      <c r="E148" s="100" t="s">
        <v>154</v>
      </c>
      <c r="F148" s="100" t="s">
        <v>156</v>
      </c>
      <c r="G148" s="117">
        <f>G149+G150+G152+G153+G154+G155+G156</f>
        <v>35745.160279999996</v>
      </c>
      <c r="H148" s="117">
        <f>H149+H150+H152+H153+H154+H155+H156</f>
        <v>0</v>
      </c>
      <c r="I148" s="182"/>
    </row>
    <row r="149" spans="1:9">
      <c r="A149" s="263" t="s">
        <v>446</v>
      </c>
      <c r="B149" s="92" t="s">
        <v>634</v>
      </c>
      <c r="C149" s="514" t="s">
        <v>332</v>
      </c>
      <c r="D149" s="100" t="s">
        <v>82</v>
      </c>
      <c r="E149" s="100" t="s">
        <v>154</v>
      </c>
      <c r="F149" s="100" t="s">
        <v>156</v>
      </c>
      <c r="G149" s="117">
        <f>'пр.8 2024-2026г'!G466</f>
        <v>24399.892690000001</v>
      </c>
      <c r="H149" s="117">
        <f>'пр.8 2024-2026г'!H466</f>
        <v>0</v>
      </c>
      <c r="I149" s="182"/>
    </row>
    <row r="150" spans="1:9" ht="25.5">
      <c r="A150" s="263" t="s">
        <v>779</v>
      </c>
      <c r="B150" s="92" t="s">
        <v>634</v>
      </c>
      <c r="C150" s="514" t="s">
        <v>333</v>
      </c>
      <c r="D150" s="100" t="s">
        <v>82</v>
      </c>
      <c r="E150" s="100" t="s">
        <v>154</v>
      </c>
      <c r="F150" s="100" t="s">
        <v>156</v>
      </c>
      <c r="G150" s="117">
        <f>'пр.8 2024-2026г'!G467</f>
        <v>50</v>
      </c>
      <c r="H150" s="117">
        <f>'пр.8 2024-2026г'!H467</f>
        <v>0</v>
      </c>
      <c r="I150" s="182"/>
    </row>
    <row r="151" spans="1:9" ht="51" hidden="1">
      <c r="A151" s="263" t="s">
        <v>529</v>
      </c>
      <c r="B151" s="92" t="s">
        <v>634</v>
      </c>
      <c r="C151" s="514" t="s">
        <v>528</v>
      </c>
      <c r="D151" s="100" t="s">
        <v>82</v>
      </c>
      <c r="E151" s="100" t="s">
        <v>154</v>
      </c>
      <c r="F151" s="100" t="s">
        <v>156</v>
      </c>
      <c r="G151" s="117"/>
      <c r="H151" s="117"/>
      <c r="I151" s="182"/>
    </row>
    <row r="152" spans="1:9" ht="51">
      <c r="A152" s="263" t="s">
        <v>447</v>
      </c>
      <c r="B152" s="92" t="s">
        <v>634</v>
      </c>
      <c r="C152" s="514" t="s">
        <v>334</v>
      </c>
      <c r="D152" s="100" t="s">
        <v>82</v>
      </c>
      <c r="E152" s="100" t="s">
        <v>154</v>
      </c>
      <c r="F152" s="100" t="s">
        <v>156</v>
      </c>
      <c r="G152" s="117">
        <f>'пр.8 2024-2026г'!G468</f>
        <v>7368.7675900000004</v>
      </c>
      <c r="H152" s="117">
        <f>'пр.8 2024-2026г'!H468</f>
        <v>0</v>
      </c>
      <c r="I152" s="182"/>
    </row>
    <row r="153" spans="1:9" ht="25.5">
      <c r="A153" s="492" t="s">
        <v>317</v>
      </c>
      <c r="B153" s="92" t="s">
        <v>634</v>
      </c>
      <c r="C153" s="514" t="s">
        <v>318</v>
      </c>
      <c r="D153" s="100" t="s">
        <v>82</v>
      </c>
      <c r="E153" s="100" t="s">
        <v>154</v>
      </c>
      <c r="F153" s="100" t="s">
        <v>156</v>
      </c>
      <c r="G153" s="117">
        <f>'пр.8 2024-2026г'!G469</f>
        <v>531.79999999999995</v>
      </c>
      <c r="H153" s="117">
        <f>'пр.8 2024-2026г'!H469</f>
        <v>0</v>
      </c>
      <c r="I153" s="182"/>
    </row>
    <row r="154" spans="1:9" ht="38.25">
      <c r="A154" s="110" t="s">
        <v>209</v>
      </c>
      <c r="B154" s="92" t="s">
        <v>634</v>
      </c>
      <c r="C154" s="514" t="s">
        <v>312</v>
      </c>
      <c r="D154" s="100" t="s">
        <v>82</v>
      </c>
      <c r="E154" s="100" t="s">
        <v>154</v>
      </c>
      <c r="F154" s="100" t="s">
        <v>156</v>
      </c>
      <c r="G154" s="117">
        <f>'пр.8 2024-2026г'!G470</f>
        <v>3000</v>
      </c>
      <c r="H154" s="117">
        <f>'пр.8 2024-2026г'!H470</f>
        <v>0</v>
      </c>
      <c r="I154" s="182"/>
    </row>
    <row r="155" spans="1:9">
      <c r="A155" s="110" t="s">
        <v>745</v>
      </c>
      <c r="B155" s="92" t="s">
        <v>634</v>
      </c>
      <c r="C155" s="514" t="s">
        <v>744</v>
      </c>
      <c r="D155" s="100" t="s">
        <v>82</v>
      </c>
      <c r="E155" s="100" t="s">
        <v>154</v>
      </c>
      <c r="F155" s="100" t="s">
        <v>156</v>
      </c>
      <c r="G155" s="117">
        <f>'пр.8 2024-2026г'!G471</f>
        <v>370</v>
      </c>
      <c r="H155" s="117">
        <f>'пр.8 2024-2026г'!H471</f>
        <v>0</v>
      </c>
      <c r="I155" s="182"/>
    </row>
    <row r="156" spans="1:9" ht="25.5">
      <c r="A156" s="106" t="s">
        <v>314</v>
      </c>
      <c r="B156" s="92" t="s">
        <v>634</v>
      </c>
      <c r="C156" s="282">
        <v>851</v>
      </c>
      <c r="D156" s="100" t="s">
        <v>82</v>
      </c>
      <c r="E156" s="100" t="s">
        <v>154</v>
      </c>
      <c r="F156" s="100" t="s">
        <v>156</v>
      </c>
      <c r="G156" s="117">
        <f>'пр.8 2024-2026г'!G472</f>
        <v>24.7</v>
      </c>
      <c r="H156" s="117">
        <f>'пр.8 2024-2026г'!H472</f>
        <v>0</v>
      </c>
      <c r="I156" s="182"/>
    </row>
    <row r="157" spans="1:9" hidden="1">
      <c r="A157" s="106" t="s">
        <v>210</v>
      </c>
      <c r="B157" s="92" t="s">
        <v>634</v>
      </c>
      <c r="C157" s="282">
        <v>852</v>
      </c>
      <c r="D157" s="100" t="s">
        <v>82</v>
      </c>
      <c r="E157" s="100" t="s">
        <v>154</v>
      </c>
      <c r="F157" s="100" t="s">
        <v>156</v>
      </c>
      <c r="G157" s="117"/>
      <c r="H157" s="117"/>
      <c r="I157" s="182"/>
    </row>
    <row r="158" spans="1:9" ht="38.25">
      <c r="A158" s="106" t="s">
        <v>335</v>
      </c>
      <c r="B158" s="92" t="s">
        <v>635</v>
      </c>
      <c r="C158" s="282"/>
      <c r="D158" s="100" t="s">
        <v>82</v>
      </c>
      <c r="E158" s="100" t="s">
        <v>154</v>
      </c>
      <c r="F158" s="100" t="s">
        <v>156</v>
      </c>
      <c r="G158" s="117">
        <f>G159+G160</f>
        <v>48.7</v>
      </c>
      <c r="H158" s="117">
        <f>H159+H160</f>
        <v>0</v>
      </c>
      <c r="I158" s="182"/>
    </row>
    <row r="159" spans="1:9">
      <c r="A159" s="263" t="s">
        <v>446</v>
      </c>
      <c r="B159" s="92" t="s">
        <v>635</v>
      </c>
      <c r="C159" s="282">
        <v>111</v>
      </c>
      <c r="D159" s="100" t="s">
        <v>82</v>
      </c>
      <c r="E159" s="100" t="s">
        <v>154</v>
      </c>
      <c r="F159" s="100" t="s">
        <v>156</v>
      </c>
      <c r="G159" s="117">
        <f>'пр.8 2024-2026г'!G477</f>
        <v>37.40399</v>
      </c>
      <c r="H159" s="117">
        <f>'пр.8 2024-2026г'!H477</f>
        <v>0</v>
      </c>
      <c r="I159" s="182"/>
    </row>
    <row r="160" spans="1:9" ht="51">
      <c r="A160" s="263" t="s">
        <v>447</v>
      </c>
      <c r="B160" s="92" t="s">
        <v>635</v>
      </c>
      <c r="C160" s="282">
        <v>119</v>
      </c>
      <c r="D160" s="100" t="s">
        <v>82</v>
      </c>
      <c r="E160" s="100" t="s">
        <v>154</v>
      </c>
      <c r="F160" s="100" t="s">
        <v>156</v>
      </c>
      <c r="G160" s="117">
        <f>'пр.8 2024-2026г'!G478</f>
        <v>11.296010000000001</v>
      </c>
      <c r="H160" s="117">
        <f>'пр.8 2024-2026г'!H478</f>
        <v>0</v>
      </c>
      <c r="I160" s="182"/>
    </row>
    <row r="161" spans="1:9" ht="102">
      <c r="A161" s="40" t="s">
        <v>411</v>
      </c>
      <c r="B161" s="92" t="s">
        <v>636</v>
      </c>
      <c r="C161" s="114"/>
      <c r="D161" s="100" t="s">
        <v>82</v>
      </c>
      <c r="E161" s="100" t="s">
        <v>154</v>
      </c>
      <c r="F161" s="100" t="s">
        <v>156</v>
      </c>
      <c r="G161" s="117">
        <f>G162+G163</f>
        <v>87</v>
      </c>
      <c r="H161" s="117">
        <f>H162+H163</f>
        <v>0</v>
      </c>
      <c r="I161" s="182"/>
    </row>
    <row r="162" spans="1:9">
      <c r="A162" s="263" t="s">
        <v>446</v>
      </c>
      <c r="B162" s="92" t="s">
        <v>636</v>
      </c>
      <c r="C162" s="92" t="s">
        <v>332</v>
      </c>
      <c r="D162" s="100" t="s">
        <v>82</v>
      </c>
      <c r="E162" s="100" t="s">
        <v>154</v>
      </c>
      <c r="F162" s="100" t="s">
        <v>156</v>
      </c>
      <c r="G162" s="117">
        <f>'пр.8 2024-2026г'!G480</f>
        <v>66.820279999999997</v>
      </c>
      <c r="H162" s="117">
        <f>'пр.8 2024-2026г'!H480</f>
        <v>0</v>
      </c>
      <c r="I162" s="182"/>
    </row>
    <row r="163" spans="1:9" ht="51">
      <c r="A163" s="263" t="s">
        <v>447</v>
      </c>
      <c r="B163" s="92" t="s">
        <v>636</v>
      </c>
      <c r="C163" s="92" t="s">
        <v>334</v>
      </c>
      <c r="D163" s="100" t="s">
        <v>82</v>
      </c>
      <c r="E163" s="100" t="s">
        <v>154</v>
      </c>
      <c r="F163" s="100" t="s">
        <v>156</v>
      </c>
      <c r="G163" s="117">
        <f>'пр.8 2024-2026г'!G481</f>
        <v>20.17972</v>
      </c>
      <c r="H163" s="117">
        <f>'пр.8 2024-2026г'!H481</f>
        <v>0</v>
      </c>
      <c r="I163" s="182"/>
    </row>
    <row r="164" spans="1:9" ht="76.5" hidden="1">
      <c r="A164" s="263" t="s">
        <v>998</v>
      </c>
      <c r="B164" s="567" t="s">
        <v>999</v>
      </c>
      <c r="C164" s="114"/>
      <c r="D164" s="100" t="s">
        <v>82</v>
      </c>
      <c r="E164" s="100" t="s">
        <v>154</v>
      </c>
      <c r="F164" s="100" t="s">
        <v>156</v>
      </c>
      <c r="G164" s="117">
        <f>G165</f>
        <v>0</v>
      </c>
      <c r="H164" s="117">
        <v>0</v>
      </c>
      <c r="I164" s="182"/>
    </row>
    <row r="165" spans="1:9" hidden="1">
      <c r="A165" s="107" t="s">
        <v>205</v>
      </c>
      <c r="B165" s="567" t="s">
        <v>999</v>
      </c>
      <c r="C165" s="92" t="s">
        <v>202</v>
      </c>
      <c r="D165" s="100" t="s">
        <v>82</v>
      </c>
      <c r="E165" s="100" t="s">
        <v>154</v>
      </c>
      <c r="F165" s="100" t="s">
        <v>156</v>
      </c>
      <c r="G165" s="117">
        <v>0</v>
      </c>
      <c r="H165" s="117">
        <v>0</v>
      </c>
      <c r="I165" s="182"/>
    </row>
    <row r="166" spans="1:9" ht="51" hidden="1">
      <c r="A166" s="109" t="s">
        <v>447</v>
      </c>
      <c r="B166" s="92" t="s">
        <v>637</v>
      </c>
      <c r="C166" s="92" t="s">
        <v>334</v>
      </c>
      <c r="D166" s="100" t="s">
        <v>82</v>
      </c>
      <c r="E166" s="100" t="s">
        <v>154</v>
      </c>
      <c r="F166" s="100" t="s">
        <v>156</v>
      </c>
      <c r="G166" s="117"/>
      <c r="H166" s="117"/>
      <c r="I166" s="182"/>
    </row>
    <row r="167" spans="1:9" ht="89.25" hidden="1">
      <c r="A167" s="483" t="s">
        <v>571</v>
      </c>
      <c r="B167" s="92" t="s">
        <v>637</v>
      </c>
      <c r="C167" s="114"/>
      <c r="D167" s="100" t="s">
        <v>82</v>
      </c>
      <c r="E167" s="100" t="s">
        <v>154</v>
      </c>
      <c r="F167" s="100" t="s">
        <v>156</v>
      </c>
      <c r="G167" s="117"/>
      <c r="H167" s="117"/>
      <c r="I167" s="182"/>
    </row>
    <row r="168" spans="1:9" hidden="1">
      <c r="A168" s="106" t="s">
        <v>446</v>
      </c>
      <c r="B168" s="92" t="s">
        <v>637</v>
      </c>
      <c r="C168" s="92" t="s">
        <v>332</v>
      </c>
      <c r="D168" s="100" t="s">
        <v>82</v>
      </c>
      <c r="E168" s="100" t="s">
        <v>154</v>
      </c>
      <c r="F168" s="100" t="s">
        <v>156</v>
      </c>
      <c r="G168" s="117"/>
      <c r="H168" s="117"/>
      <c r="I168" s="182"/>
    </row>
    <row r="169" spans="1:9" ht="51" hidden="1">
      <c r="A169" s="109" t="s">
        <v>447</v>
      </c>
      <c r="B169" s="92" t="s">
        <v>637</v>
      </c>
      <c r="C169" s="92" t="s">
        <v>334</v>
      </c>
      <c r="D169" s="100" t="s">
        <v>82</v>
      </c>
      <c r="E169" s="100" t="s">
        <v>154</v>
      </c>
      <c r="F169" s="100" t="s">
        <v>156</v>
      </c>
      <c r="G169" s="117"/>
      <c r="H169" s="117"/>
      <c r="I169" s="182"/>
    </row>
    <row r="170" spans="1:9" ht="38.25">
      <c r="A170" s="113" t="s">
        <v>949</v>
      </c>
      <c r="B170" s="502" t="s">
        <v>679</v>
      </c>
      <c r="C170" s="502"/>
      <c r="D170" s="502" t="s">
        <v>973</v>
      </c>
      <c r="E170" s="502"/>
      <c r="F170" s="502"/>
      <c r="G170" s="503">
        <f>G171</f>
        <v>120939.16100000001</v>
      </c>
      <c r="H170" s="288">
        <f>H171</f>
        <v>0</v>
      </c>
      <c r="I170" s="590"/>
    </row>
    <row r="171" spans="1:9" ht="74.25" customHeight="1">
      <c r="A171" s="216" t="s">
        <v>643</v>
      </c>
      <c r="B171" s="504" t="s">
        <v>679</v>
      </c>
      <c r="C171" s="504"/>
      <c r="D171" s="504"/>
      <c r="E171" s="504"/>
      <c r="F171" s="504"/>
      <c r="G171" s="505">
        <f>G172+G174+G175+G181+G183+G177+G179+G173</f>
        <v>120939.16100000001</v>
      </c>
      <c r="H171" s="505">
        <f>H172+H174+H175+H181+H183</f>
        <v>0</v>
      </c>
      <c r="I171" s="591"/>
    </row>
    <row r="172" spans="1:9" ht="38.25">
      <c r="A172" s="110" t="s">
        <v>209</v>
      </c>
      <c r="B172" s="504" t="s">
        <v>550</v>
      </c>
      <c r="C172" s="504" t="s">
        <v>312</v>
      </c>
      <c r="D172" s="504" t="s">
        <v>457</v>
      </c>
      <c r="E172" s="504" t="s">
        <v>161</v>
      </c>
      <c r="F172" s="504" t="s">
        <v>156</v>
      </c>
      <c r="G172" s="506">
        <f>'пр.8 2024-2026г'!G523</f>
        <v>13188.598</v>
      </c>
      <c r="H172" s="117">
        <f>'пр.8 2024-2026г'!H523</f>
        <v>0</v>
      </c>
      <c r="I172" s="591"/>
    </row>
    <row r="173" spans="1:9" ht="38.25">
      <c r="A173" s="110" t="s">
        <v>523</v>
      </c>
      <c r="B173" s="504" t="s">
        <v>550</v>
      </c>
      <c r="C173" s="504" t="s">
        <v>71</v>
      </c>
      <c r="D173" s="504" t="s">
        <v>457</v>
      </c>
      <c r="E173" s="504" t="s">
        <v>161</v>
      </c>
      <c r="F173" s="504" t="s">
        <v>156</v>
      </c>
      <c r="G173" s="506">
        <f>'пр.8 2024-2026г'!G524</f>
        <v>2907.1109999999999</v>
      </c>
      <c r="H173" s="117">
        <v>0</v>
      </c>
      <c r="I173" s="591"/>
    </row>
    <row r="174" spans="1:9">
      <c r="A174" s="106" t="s">
        <v>310</v>
      </c>
      <c r="B174" s="504" t="s">
        <v>550</v>
      </c>
      <c r="C174" s="504" t="s">
        <v>321</v>
      </c>
      <c r="D174" s="504" t="s">
        <v>140</v>
      </c>
      <c r="E174" s="504" t="s">
        <v>165</v>
      </c>
      <c r="F174" s="504" t="s">
        <v>155</v>
      </c>
      <c r="G174" s="506">
        <f>'пр.8 2024-2026г'!G292</f>
        <v>4236.8519999999999</v>
      </c>
      <c r="H174" s="117">
        <f>'пр.8 2024-2026г'!H292</f>
        <v>0</v>
      </c>
      <c r="I174" s="591"/>
    </row>
    <row r="175" spans="1:9" ht="51">
      <c r="A175" s="216" t="s">
        <v>547</v>
      </c>
      <c r="B175" s="92" t="s">
        <v>691</v>
      </c>
      <c r="C175" s="504"/>
      <c r="D175" s="504" t="s">
        <v>457</v>
      </c>
      <c r="E175" s="504" t="s">
        <v>161</v>
      </c>
      <c r="F175" s="504" t="s">
        <v>156</v>
      </c>
      <c r="G175" s="506">
        <f>G176</f>
        <v>606.59999999999854</v>
      </c>
      <c r="H175" s="117">
        <f>H176</f>
        <v>0</v>
      </c>
      <c r="I175" s="591"/>
    </row>
    <row r="176" spans="1:9" ht="38.25">
      <c r="A176" s="110" t="s">
        <v>209</v>
      </c>
      <c r="B176" s="92" t="s">
        <v>691</v>
      </c>
      <c r="C176" s="504" t="s">
        <v>312</v>
      </c>
      <c r="D176" s="504" t="s">
        <v>457</v>
      </c>
      <c r="E176" s="504" t="s">
        <v>161</v>
      </c>
      <c r="F176" s="504" t="s">
        <v>156</v>
      </c>
      <c r="G176" s="506">
        <f>'пр.8 2024-2026г'!G526</f>
        <v>606.59999999999854</v>
      </c>
      <c r="H176" s="117">
        <f>'пр.8 2024-2026г'!H526</f>
        <v>0</v>
      </c>
      <c r="I176" s="591"/>
    </row>
    <row r="177" spans="1:9" ht="51" hidden="1">
      <c r="A177" s="216" t="s">
        <v>547</v>
      </c>
      <c r="B177" s="92" t="s">
        <v>691</v>
      </c>
      <c r="C177" s="504"/>
      <c r="D177" s="504" t="s">
        <v>457</v>
      </c>
      <c r="E177" s="504" t="s">
        <v>165</v>
      </c>
      <c r="F177" s="504" t="s">
        <v>155</v>
      </c>
      <c r="G177" s="506">
        <f>G178</f>
        <v>0</v>
      </c>
      <c r="H177" s="117">
        <v>0</v>
      </c>
      <c r="I177" s="591"/>
    </row>
    <row r="178" spans="1:9" hidden="1">
      <c r="A178" s="106" t="s">
        <v>310</v>
      </c>
      <c r="B178" s="92" t="s">
        <v>691</v>
      </c>
      <c r="C178" s="504" t="s">
        <v>321</v>
      </c>
      <c r="D178" s="504" t="s">
        <v>457</v>
      </c>
      <c r="E178" s="504" t="s">
        <v>165</v>
      </c>
      <c r="F178" s="504" t="s">
        <v>155</v>
      </c>
      <c r="G178" s="506">
        <v>0</v>
      </c>
      <c r="H178" s="117">
        <v>0</v>
      </c>
      <c r="I178" s="591"/>
    </row>
    <row r="179" spans="1:9" ht="54.75" hidden="1" customHeight="1">
      <c r="A179" s="216" t="s">
        <v>894</v>
      </c>
      <c r="B179" s="92" t="s">
        <v>691</v>
      </c>
      <c r="C179" s="504"/>
      <c r="D179" s="504" t="s">
        <v>457</v>
      </c>
      <c r="E179" s="504" t="s">
        <v>165</v>
      </c>
      <c r="F179" s="504" t="s">
        <v>155</v>
      </c>
      <c r="G179" s="506">
        <f>G180</f>
        <v>0</v>
      </c>
      <c r="H179" s="117">
        <v>0</v>
      </c>
      <c r="I179" s="591"/>
    </row>
    <row r="180" spans="1:9" hidden="1">
      <c r="A180" s="106" t="s">
        <v>310</v>
      </c>
      <c r="B180" s="92" t="s">
        <v>691</v>
      </c>
      <c r="C180" s="504" t="s">
        <v>321</v>
      </c>
      <c r="D180" s="504" t="s">
        <v>457</v>
      </c>
      <c r="E180" s="504" t="s">
        <v>165</v>
      </c>
      <c r="F180" s="504" t="s">
        <v>155</v>
      </c>
      <c r="G180" s="506">
        <v>0</v>
      </c>
      <c r="H180" s="117">
        <v>0</v>
      </c>
      <c r="I180" s="591"/>
    </row>
    <row r="181" spans="1:9" ht="38.25">
      <c r="A181" s="110" t="s">
        <v>972</v>
      </c>
      <c r="B181" s="92" t="s">
        <v>893</v>
      </c>
      <c r="C181" s="504"/>
      <c r="D181" s="504" t="s">
        <v>457</v>
      </c>
      <c r="E181" s="504" t="s">
        <v>161</v>
      </c>
      <c r="F181" s="504" t="s">
        <v>156</v>
      </c>
      <c r="G181" s="506">
        <f>G182</f>
        <v>100000</v>
      </c>
      <c r="H181" s="117">
        <f>H182</f>
        <v>0</v>
      </c>
      <c r="I181" s="591"/>
    </row>
    <row r="182" spans="1:9" ht="38.25">
      <c r="A182" s="110" t="s">
        <v>209</v>
      </c>
      <c r="B182" s="92" t="s">
        <v>893</v>
      </c>
      <c r="C182" s="504" t="s">
        <v>312</v>
      </c>
      <c r="D182" s="504" t="s">
        <v>457</v>
      </c>
      <c r="E182" s="504" t="s">
        <v>161</v>
      </c>
      <c r="F182" s="504" t="s">
        <v>156</v>
      </c>
      <c r="G182" s="506">
        <f>'пр.8 2024-2026г'!G528</f>
        <v>100000</v>
      </c>
      <c r="H182" s="117">
        <f>'пр.8 2024-2026г'!H528</f>
        <v>0</v>
      </c>
      <c r="I182" s="591"/>
    </row>
    <row r="183" spans="1:9" ht="51" hidden="1">
      <c r="A183" s="110" t="s">
        <v>898</v>
      </c>
      <c r="B183" s="92" t="s">
        <v>877</v>
      </c>
      <c r="C183" s="504"/>
      <c r="D183" s="504" t="s">
        <v>140</v>
      </c>
      <c r="E183" s="504" t="s">
        <v>165</v>
      </c>
      <c r="F183" s="504" t="s">
        <v>155</v>
      </c>
      <c r="G183" s="506">
        <f>G184</f>
        <v>0</v>
      </c>
      <c r="H183" s="117">
        <f>H184</f>
        <v>0</v>
      </c>
      <c r="I183" s="591"/>
    </row>
    <row r="184" spans="1:9" hidden="1">
      <c r="A184" s="106" t="s">
        <v>310</v>
      </c>
      <c r="B184" s="92" t="s">
        <v>877</v>
      </c>
      <c r="C184" s="504" t="s">
        <v>321</v>
      </c>
      <c r="D184" s="504" t="s">
        <v>140</v>
      </c>
      <c r="E184" s="504" t="s">
        <v>165</v>
      </c>
      <c r="F184" s="504" t="s">
        <v>155</v>
      </c>
      <c r="G184" s="506">
        <v>0</v>
      </c>
      <c r="H184" s="117">
        <v>0</v>
      </c>
      <c r="I184" s="591"/>
    </row>
    <row r="185" spans="1:9" ht="57.75" customHeight="1">
      <c r="A185" s="509" t="s">
        <v>950</v>
      </c>
      <c r="B185" s="303" t="s">
        <v>626</v>
      </c>
      <c r="C185" s="510"/>
      <c r="D185" s="510" t="s">
        <v>140</v>
      </c>
      <c r="E185" s="510"/>
      <c r="F185" s="510"/>
      <c r="G185" s="511">
        <f>G186</f>
        <v>40</v>
      </c>
      <c r="H185" s="288">
        <f>H186</f>
        <v>0</v>
      </c>
      <c r="I185"/>
    </row>
    <row r="186" spans="1:9" ht="25.5" customHeight="1">
      <c r="A186" s="534" t="s">
        <v>648</v>
      </c>
      <c r="B186" s="681" t="s">
        <v>680</v>
      </c>
      <c r="C186" s="504"/>
      <c r="D186" s="504" t="s">
        <v>140</v>
      </c>
      <c r="E186" s="504" t="s">
        <v>157</v>
      </c>
      <c r="F186" s="504" t="s">
        <v>155</v>
      </c>
      <c r="G186" s="506">
        <f>G187</f>
        <v>40</v>
      </c>
      <c r="H186" s="117">
        <f>H187</f>
        <v>0</v>
      </c>
      <c r="I186"/>
    </row>
    <row r="187" spans="1:9" ht="33.75" customHeight="1">
      <c r="A187" s="110" t="s">
        <v>209</v>
      </c>
      <c r="B187" s="514" t="s">
        <v>680</v>
      </c>
      <c r="C187" s="504" t="s">
        <v>312</v>
      </c>
      <c r="D187" s="504" t="s">
        <v>140</v>
      </c>
      <c r="E187" s="504" t="s">
        <v>157</v>
      </c>
      <c r="F187" s="504" t="s">
        <v>155</v>
      </c>
      <c r="G187" s="506">
        <f>'пр.8 2024-2026г'!G217</f>
        <v>40</v>
      </c>
      <c r="H187" s="506">
        <f>'пр.8 2024-2026г'!H217</f>
        <v>0</v>
      </c>
      <c r="I187"/>
    </row>
    <row r="188" spans="1:9" ht="44.25" customHeight="1">
      <c r="A188" s="382" t="s">
        <v>1116</v>
      </c>
      <c r="B188" s="598" t="s">
        <v>783</v>
      </c>
      <c r="C188" s="510"/>
      <c r="D188" s="510" t="s">
        <v>572</v>
      </c>
      <c r="E188" s="510"/>
      <c r="F188" s="510"/>
      <c r="G188" s="768">
        <f>G189</f>
        <v>1150</v>
      </c>
      <c r="H188" s="768">
        <f>H189</f>
        <v>519.06399999999996</v>
      </c>
      <c r="I188"/>
    </row>
    <row r="189" spans="1:9" ht="48.75" customHeight="1">
      <c r="A189" s="21" t="s">
        <v>786</v>
      </c>
      <c r="B189" s="379" t="s">
        <v>784</v>
      </c>
      <c r="C189" s="504"/>
      <c r="D189" s="504"/>
      <c r="E189" s="504"/>
      <c r="F189" s="504"/>
      <c r="G189" s="506">
        <f>G191+G192+G193</f>
        <v>1150</v>
      </c>
      <c r="H189" s="506">
        <f>H191+H192+H193</f>
        <v>519.06399999999996</v>
      </c>
      <c r="I189"/>
    </row>
    <row r="190" spans="1:9" ht="33.75" hidden="1" customHeight="1">
      <c r="A190" s="110" t="s">
        <v>209</v>
      </c>
      <c r="B190" s="379" t="s">
        <v>784</v>
      </c>
      <c r="C190" s="504" t="s">
        <v>312</v>
      </c>
      <c r="D190" s="504" t="s">
        <v>140</v>
      </c>
      <c r="E190" s="504" t="s">
        <v>161</v>
      </c>
      <c r="F190" s="504" t="s">
        <v>159</v>
      </c>
      <c r="G190" s="506"/>
      <c r="H190" s="506"/>
      <c r="I190"/>
    </row>
    <row r="191" spans="1:9" ht="33.75" customHeight="1">
      <c r="A191" s="106" t="s">
        <v>378</v>
      </c>
      <c r="B191" s="379" t="s">
        <v>784</v>
      </c>
      <c r="C191" s="504" t="s">
        <v>202</v>
      </c>
      <c r="D191" s="504" t="s">
        <v>82</v>
      </c>
      <c r="E191" s="504" t="s">
        <v>154</v>
      </c>
      <c r="F191" s="504" t="s">
        <v>152</v>
      </c>
      <c r="G191" s="506">
        <f>'пр.8 2024-2026г'!G336</f>
        <v>200</v>
      </c>
      <c r="H191" s="506">
        <f>'пр.8 2024-2026г'!H336</f>
        <v>519.06399999999996</v>
      </c>
      <c r="I191"/>
    </row>
    <row r="192" spans="1:9" ht="33.75" customHeight="1">
      <c r="A192" s="107" t="s">
        <v>269</v>
      </c>
      <c r="B192" s="379" t="s">
        <v>784</v>
      </c>
      <c r="C192" s="504" t="s">
        <v>270</v>
      </c>
      <c r="D192" s="504" t="s">
        <v>82</v>
      </c>
      <c r="E192" s="504" t="s">
        <v>154</v>
      </c>
      <c r="F192" s="504" t="s">
        <v>152</v>
      </c>
      <c r="G192" s="506">
        <f>'пр.8 2024-2026г'!G337</f>
        <v>500</v>
      </c>
      <c r="H192" s="506">
        <v>0</v>
      </c>
      <c r="I192"/>
    </row>
    <row r="193" spans="1:9" ht="33.75" customHeight="1">
      <c r="A193" s="106" t="s">
        <v>378</v>
      </c>
      <c r="B193" s="379" t="s">
        <v>784</v>
      </c>
      <c r="C193" s="504" t="s">
        <v>202</v>
      </c>
      <c r="D193" s="504" t="s">
        <v>82</v>
      </c>
      <c r="E193" s="504" t="s">
        <v>154</v>
      </c>
      <c r="F193" s="504" t="s">
        <v>153</v>
      </c>
      <c r="G193" s="506">
        <f>'пр.8 2024-2026г'!G414</f>
        <v>450</v>
      </c>
      <c r="H193" s="506">
        <f>'пр.8 2024-2026г'!H414</f>
        <v>0</v>
      </c>
      <c r="I193"/>
    </row>
    <row r="194" spans="1:9" ht="33.75" hidden="1" customHeight="1">
      <c r="A194" s="106" t="s">
        <v>378</v>
      </c>
      <c r="B194" s="379" t="s">
        <v>784</v>
      </c>
      <c r="C194" s="504" t="s">
        <v>202</v>
      </c>
      <c r="D194" s="504" t="s">
        <v>82</v>
      </c>
      <c r="E194" s="504" t="s">
        <v>154</v>
      </c>
      <c r="F194" s="504" t="s">
        <v>155</v>
      </c>
      <c r="G194" s="506"/>
      <c r="H194" s="506"/>
      <c r="I194"/>
    </row>
    <row r="195" spans="1:9" ht="33.75" hidden="1" customHeight="1">
      <c r="A195" s="107" t="s">
        <v>269</v>
      </c>
      <c r="B195" s="379" t="s">
        <v>784</v>
      </c>
      <c r="C195" s="504" t="s">
        <v>270</v>
      </c>
      <c r="D195" s="504" t="s">
        <v>140</v>
      </c>
      <c r="E195" s="504" t="s">
        <v>154</v>
      </c>
      <c r="F195" s="504" t="s">
        <v>155</v>
      </c>
      <c r="G195" s="506"/>
      <c r="H195" s="506"/>
      <c r="I195"/>
    </row>
    <row r="196" spans="1:9" ht="33.75" hidden="1" customHeight="1">
      <c r="A196" s="107" t="s">
        <v>269</v>
      </c>
      <c r="B196" s="379" t="s">
        <v>784</v>
      </c>
      <c r="C196" s="504" t="s">
        <v>270</v>
      </c>
      <c r="D196" s="504" t="s">
        <v>82</v>
      </c>
      <c r="E196" s="504" t="s">
        <v>154</v>
      </c>
      <c r="F196" s="504" t="s">
        <v>154</v>
      </c>
      <c r="G196" s="506"/>
      <c r="H196" s="506"/>
      <c r="I196"/>
    </row>
    <row r="197" spans="1:9" ht="54.75" customHeight="1">
      <c r="A197" s="587" t="s">
        <v>1115</v>
      </c>
      <c r="B197" s="303" t="s">
        <v>762</v>
      </c>
      <c r="C197" s="510"/>
      <c r="D197" s="510" t="s">
        <v>82</v>
      </c>
      <c r="E197" s="510"/>
      <c r="F197" s="510"/>
      <c r="G197" s="768">
        <f>G198</f>
        <v>59.422110000000004</v>
      </c>
      <c r="H197" s="768">
        <f>H198</f>
        <v>59.422110000000004</v>
      </c>
      <c r="I197"/>
    </row>
    <row r="198" spans="1:9" ht="38.25" customHeight="1">
      <c r="A198" s="586" t="s">
        <v>761</v>
      </c>
      <c r="B198" s="514" t="s">
        <v>762</v>
      </c>
      <c r="C198" s="504"/>
      <c r="D198" s="504" t="s">
        <v>82</v>
      </c>
      <c r="E198" s="504" t="s">
        <v>154</v>
      </c>
      <c r="F198" s="504" t="s">
        <v>153</v>
      </c>
      <c r="G198" s="506">
        <f>G199</f>
        <v>59.422110000000004</v>
      </c>
      <c r="H198" s="506">
        <f>H199</f>
        <v>59.422110000000004</v>
      </c>
      <c r="I198"/>
    </row>
    <row r="199" spans="1:9" ht="33.75" customHeight="1">
      <c r="A199" s="106" t="s">
        <v>378</v>
      </c>
      <c r="B199" s="514" t="s">
        <v>762</v>
      </c>
      <c r="C199" s="504" t="s">
        <v>202</v>
      </c>
      <c r="D199" s="504" t="s">
        <v>82</v>
      </c>
      <c r="E199" s="504" t="s">
        <v>154</v>
      </c>
      <c r="F199" s="504" t="s">
        <v>153</v>
      </c>
      <c r="G199" s="506">
        <f>'пр.7 2024г'!G543</f>
        <v>59.422110000000004</v>
      </c>
      <c r="H199" s="506">
        <f>'пр.8 2024-2026г'!H411</f>
        <v>59.422110000000004</v>
      </c>
      <c r="I199"/>
    </row>
    <row r="200" spans="1:9" ht="44.25" customHeight="1">
      <c r="A200" s="113" t="s">
        <v>1112</v>
      </c>
      <c r="B200" s="303" t="s">
        <v>619</v>
      </c>
      <c r="C200" s="103"/>
      <c r="D200" s="103" t="s">
        <v>140</v>
      </c>
      <c r="E200" s="103" t="s">
        <v>155</v>
      </c>
      <c r="F200" s="103" t="s">
        <v>156</v>
      </c>
      <c r="G200" s="768">
        <f>G201+G203</f>
        <v>5431.5</v>
      </c>
      <c r="H200" s="768">
        <f>H201+H203</f>
        <v>3131.4999999999995</v>
      </c>
      <c r="I200"/>
    </row>
    <row r="201" spans="1:9" ht="33.75" customHeight="1">
      <c r="A201" s="176" t="s">
        <v>640</v>
      </c>
      <c r="B201" s="105" t="s">
        <v>387</v>
      </c>
      <c r="C201" s="425"/>
      <c r="D201" s="105" t="s">
        <v>140</v>
      </c>
      <c r="E201" s="105" t="s">
        <v>155</v>
      </c>
      <c r="F201" s="105" t="s">
        <v>156</v>
      </c>
      <c r="G201" s="506">
        <f>G202</f>
        <v>2500</v>
      </c>
      <c r="H201" s="506">
        <f>H202</f>
        <v>200</v>
      </c>
      <c r="I201"/>
    </row>
    <row r="202" spans="1:9" ht="33.75" customHeight="1">
      <c r="A202" s="110" t="s">
        <v>209</v>
      </c>
      <c r="B202" s="105" t="s">
        <v>387</v>
      </c>
      <c r="C202" s="105" t="s">
        <v>312</v>
      </c>
      <c r="D202" s="105" t="s">
        <v>140</v>
      </c>
      <c r="E202" s="105" t="s">
        <v>155</v>
      </c>
      <c r="F202" s="105" t="s">
        <v>156</v>
      </c>
      <c r="G202" s="506">
        <f>'пр.8 2024-2026г'!G132</f>
        <v>2500</v>
      </c>
      <c r="H202" s="506">
        <f>'пр.8 2024-2026г'!H132</f>
        <v>200</v>
      </c>
      <c r="I202"/>
    </row>
    <row r="203" spans="1:9" ht="38.25">
      <c r="A203" s="574" t="s">
        <v>747</v>
      </c>
      <c r="B203" s="105" t="s">
        <v>825</v>
      </c>
      <c r="C203" s="105"/>
      <c r="D203" s="105" t="s">
        <v>140</v>
      </c>
      <c r="E203" s="105" t="s">
        <v>161</v>
      </c>
      <c r="F203" s="105" t="s">
        <v>162</v>
      </c>
      <c r="G203" s="116">
        <f>G204+G206+G209+G211</f>
        <v>2931.4999999999995</v>
      </c>
      <c r="H203" s="116">
        <f>H204+H206+H209+H211</f>
        <v>2931.4999999999995</v>
      </c>
    </row>
    <row r="204" spans="1:9" ht="38.25">
      <c r="A204" s="483" t="s">
        <v>403</v>
      </c>
      <c r="B204" s="101" t="s">
        <v>905</v>
      </c>
      <c r="C204" s="619"/>
      <c r="D204" s="105" t="s">
        <v>140</v>
      </c>
      <c r="E204" s="105" t="s">
        <v>161</v>
      </c>
      <c r="F204" s="105" t="s">
        <v>162</v>
      </c>
      <c r="G204" s="116">
        <f>G205</f>
        <v>2611.1999999999998</v>
      </c>
      <c r="H204" s="116">
        <f>H205</f>
        <v>2611.1999999999998</v>
      </c>
    </row>
    <row r="205" spans="1:9" ht="38.25">
      <c r="A205" s="110" t="s">
        <v>209</v>
      </c>
      <c r="B205" s="100" t="s">
        <v>905</v>
      </c>
      <c r="C205" s="282">
        <v>244</v>
      </c>
      <c r="D205" s="105" t="s">
        <v>140</v>
      </c>
      <c r="E205" s="105" t="s">
        <v>161</v>
      </c>
      <c r="F205" s="105" t="s">
        <v>162</v>
      </c>
      <c r="G205" s="660">
        <f>'пр.8 2024-2026г'!G149</f>
        <v>2611.1999999999998</v>
      </c>
      <c r="H205" s="660">
        <f>'пр.8 2024-2026г'!H149</f>
        <v>2611.1999999999998</v>
      </c>
    </row>
    <row r="206" spans="1:9" ht="38.25">
      <c r="A206" s="483" t="s">
        <v>409</v>
      </c>
      <c r="B206" s="100" t="s">
        <v>809</v>
      </c>
      <c r="C206" s="619"/>
      <c r="D206" s="105" t="s">
        <v>140</v>
      </c>
      <c r="E206" s="105" t="s">
        <v>161</v>
      </c>
      <c r="F206" s="105" t="s">
        <v>162</v>
      </c>
      <c r="G206" s="660">
        <f>G207+G208</f>
        <v>39.200000000000003</v>
      </c>
      <c r="H206" s="660">
        <f>H207+H208</f>
        <v>39.200000000000003</v>
      </c>
    </row>
    <row r="207" spans="1:9" ht="25.5">
      <c r="A207" s="106" t="s">
        <v>324</v>
      </c>
      <c r="B207" s="100" t="s">
        <v>809</v>
      </c>
      <c r="C207" s="92" t="s">
        <v>311</v>
      </c>
      <c r="D207" s="105" t="s">
        <v>140</v>
      </c>
      <c r="E207" s="105" t="s">
        <v>161</v>
      </c>
      <c r="F207" s="105" t="s">
        <v>162</v>
      </c>
      <c r="G207" s="660">
        <f>'пр.8 2024-2026г'!G151</f>
        <v>30.107530000000001</v>
      </c>
      <c r="H207" s="660">
        <f>'пр.8 2024-2026г'!H151</f>
        <v>30.107530000000001</v>
      </c>
    </row>
    <row r="208" spans="1:9" ht="51">
      <c r="A208" s="462" t="s">
        <v>325</v>
      </c>
      <c r="B208" s="100" t="s">
        <v>809</v>
      </c>
      <c r="C208" s="92" t="s">
        <v>326</v>
      </c>
      <c r="D208" s="105" t="s">
        <v>140</v>
      </c>
      <c r="E208" s="105" t="s">
        <v>161</v>
      </c>
      <c r="F208" s="105" t="s">
        <v>162</v>
      </c>
      <c r="G208" s="660">
        <f>'пр.8 2024-2026г'!G152</f>
        <v>9.0924700000000005</v>
      </c>
      <c r="H208" s="660">
        <f>'пр.8 2024-2026г'!H152</f>
        <v>9.0924700000000005</v>
      </c>
    </row>
    <row r="209" spans="1:9" ht="51">
      <c r="A209" s="620" t="s">
        <v>781</v>
      </c>
      <c r="B209" s="100" t="s">
        <v>906</v>
      </c>
      <c r="C209" s="265"/>
      <c r="D209" s="105" t="s">
        <v>140</v>
      </c>
      <c r="E209" s="105" t="s">
        <v>161</v>
      </c>
      <c r="F209" s="105" t="s">
        <v>162</v>
      </c>
      <c r="G209" s="660">
        <f>G210</f>
        <v>244.4</v>
      </c>
      <c r="H209" s="660">
        <f>H210</f>
        <v>244.4</v>
      </c>
    </row>
    <row r="210" spans="1:9" ht="38.25">
      <c r="A210" s="110" t="s">
        <v>209</v>
      </c>
      <c r="B210" s="100" t="s">
        <v>811</v>
      </c>
      <c r="C210" s="265">
        <v>244</v>
      </c>
      <c r="D210" s="105" t="s">
        <v>140</v>
      </c>
      <c r="E210" s="105" t="s">
        <v>161</v>
      </c>
      <c r="F210" s="105" t="s">
        <v>162</v>
      </c>
      <c r="G210" s="660">
        <f>'пр.8 2024-2026г'!G154</f>
        <v>244.4</v>
      </c>
      <c r="H210" s="660">
        <f>'пр.8 2024-2026г'!H154</f>
        <v>244.4</v>
      </c>
    </row>
    <row r="211" spans="1:9" ht="51">
      <c r="A211" s="620" t="s">
        <v>778</v>
      </c>
      <c r="B211" s="100" t="s">
        <v>812</v>
      </c>
      <c r="C211" s="265"/>
      <c r="D211" s="105" t="s">
        <v>140</v>
      </c>
      <c r="E211" s="105" t="s">
        <v>161</v>
      </c>
      <c r="F211" s="105" t="s">
        <v>162</v>
      </c>
      <c r="G211" s="660">
        <f>G212+G213</f>
        <v>36.700000000000003</v>
      </c>
      <c r="H211" s="660">
        <f>H212+H213</f>
        <v>36.700000000000003</v>
      </c>
    </row>
    <row r="212" spans="1:9" ht="25.5">
      <c r="A212" s="106" t="s">
        <v>324</v>
      </c>
      <c r="B212" s="100" t="s">
        <v>812</v>
      </c>
      <c r="C212" s="265">
        <v>121</v>
      </c>
      <c r="D212" s="105" t="s">
        <v>140</v>
      </c>
      <c r="E212" s="105" t="s">
        <v>161</v>
      </c>
      <c r="F212" s="105" t="s">
        <v>162</v>
      </c>
      <c r="G212" s="660">
        <f>'пр.8 2024-2026г'!G156</f>
        <v>28.1874</v>
      </c>
      <c r="H212" s="660">
        <f>'пр.8 2024-2026г'!H156</f>
        <v>28.1874</v>
      </c>
    </row>
    <row r="213" spans="1:9" ht="51">
      <c r="A213" s="462" t="s">
        <v>325</v>
      </c>
      <c r="B213" s="100" t="s">
        <v>812</v>
      </c>
      <c r="C213" s="265">
        <v>129</v>
      </c>
      <c r="D213" s="105" t="s">
        <v>140</v>
      </c>
      <c r="E213" s="105" t="s">
        <v>161</v>
      </c>
      <c r="F213" s="105" t="s">
        <v>162</v>
      </c>
      <c r="G213" s="660">
        <f>'пр.8 2024-2026г'!G157</f>
        <v>8.5126000000000008</v>
      </c>
      <c r="H213" s="660">
        <f>'пр.8 2024-2026г'!H157</f>
        <v>8.5126000000000008</v>
      </c>
      <c r="I213" s="296"/>
    </row>
    <row r="214" spans="1:9" ht="51">
      <c r="A214" s="113" t="s">
        <v>1104</v>
      </c>
      <c r="B214" s="102" t="s">
        <v>398</v>
      </c>
      <c r="C214" s="103"/>
      <c r="D214" s="103" t="s">
        <v>140</v>
      </c>
      <c r="E214" s="102"/>
      <c r="F214" s="102"/>
      <c r="G214" s="773">
        <f>G215+G220+G225+G232</f>
        <v>3971.4870000000001</v>
      </c>
      <c r="H214" s="773">
        <f>H215+H220+H225+H232</f>
        <v>3761.4870000000001</v>
      </c>
      <c r="I214" s="217"/>
    </row>
    <row r="215" spans="1:9" ht="25.5">
      <c r="A215" s="218" t="s">
        <v>833</v>
      </c>
      <c r="B215" s="266" t="s">
        <v>818</v>
      </c>
      <c r="C215" s="103"/>
      <c r="D215" s="103" t="s">
        <v>140</v>
      </c>
      <c r="E215" s="102"/>
      <c r="F215" s="102"/>
      <c r="G215" s="769">
        <f>G216</f>
        <v>1895.4870000000001</v>
      </c>
      <c r="H215" s="769">
        <f>H216</f>
        <v>1895.4870000000001</v>
      </c>
      <c r="I215" s="217"/>
    </row>
    <row r="216" spans="1:9" ht="38.25">
      <c r="A216" s="113" t="s">
        <v>845</v>
      </c>
      <c r="B216" s="92" t="s">
        <v>385</v>
      </c>
      <c r="C216" s="103"/>
      <c r="D216" s="103" t="s">
        <v>140</v>
      </c>
      <c r="E216" s="102"/>
      <c r="F216" s="102"/>
      <c r="G216" s="769">
        <f>G217+G218+G219</f>
        <v>1895.4870000000001</v>
      </c>
      <c r="H216" s="769">
        <f>H217+H218+H219</f>
        <v>1895.4870000000001</v>
      </c>
      <c r="I216" s="217"/>
    </row>
    <row r="217" spans="1:9" ht="38.25">
      <c r="A217" s="110" t="s">
        <v>209</v>
      </c>
      <c r="B217" s="92" t="s">
        <v>385</v>
      </c>
      <c r="C217" s="92" t="s">
        <v>312</v>
      </c>
      <c r="D217" s="92" t="s">
        <v>140</v>
      </c>
      <c r="E217" s="114" t="s">
        <v>152</v>
      </c>
      <c r="F217" s="114" t="s">
        <v>161</v>
      </c>
      <c r="G217" s="660">
        <f>'пр.8 2024-2026г'!G96</f>
        <v>200</v>
      </c>
      <c r="H217" s="660">
        <f>'пр.8 2024-2026г'!H96</f>
        <v>200</v>
      </c>
      <c r="I217" s="217"/>
    </row>
    <row r="218" spans="1:9">
      <c r="A218" s="106" t="s">
        <v>1036</v>
      </c>
      <c r="B218" s="92" t="s">
        <v>385</v>
      </c>
      <c r="C218" s="92" t="s">
        <v>1037</v>
      </c>
      <c r="D218" s="92" t="s">
        <v>140</v>
      </c>
      <c r="E218" s="114" t="s">
        <v>152</v>
      </c>
      <c r="F218" s="114" t="s">
        <v>161</v>
      </c>
      <c r="G218" s="660">
        <f>'пр.8 2024-2026г'!G97</f>
        <v>95.486999999999995</v>
      </c>
      <c r="H218" s="660">
        <f>'пр.8 2024-2026г'!H97</f>
        <v>95.486999999999995</v>
      </c>
    </row>
    <row r="219" spans="1:9">
      <c r="A219" s="106" t="s">
        <v>267</v>
      </c>
      <c r="B219" s="92" t="s">
        <v>385</v>
      </c>
      <c r="C219" s="92" t="s">
        <v>320</v>
      </c>
      <c r="D219" s="92" t="s">
        <v>140</v>
      </c>
      <c r="E219" s="114" t="s">
        <v>159</v>
      </c>
      <c r="F219" s="114" t="s">
        <v>153</v>
      </c>
      <c r="G219" s="660">
        <f>'пр.8 2024-2026г'!G288</f>
        <v>1600</v>
      </c>
      <c r="H219" s="660">
        <f>'пр.8 2024-2026г'!H288</f>
        <v>1600</v>
      </c>
    </row>
    <row r="220" spans="1:9" ht="38.25">
      <c r="A220" s="218" t="s">
        <v>1110</v>
      </c>
      <c r="B220" s="219" t="s">
        <v>381</v>
      </c>
      <c r="C220" s="219"/>
      <c r="D220" s="219"/>
      <c r="E220" s="267"/>
      <c r="F220" s="267"/>
      <c r="G220" s="771">
        <f>G221</f>
        <v>1210</v>
      </c>
      <c r="H220" s="771">
        <f>H221</f>
        <v>1000</v>
      </c>
    </row>
    <row r="221" spans="1:9" ht="25.5">
      <c r="A221" s="106" t="s">
        <v>650</v>
      </c>
      <c r="B221" s="92" t="s">
        <v>629</v>
      </c>
      <c r="C221" s="425"/>
      <c r="D221" s="425" t="s">
        <v>140</v>
      </c>
      <c r="E221" s="425" t="s">
        <v>165</v>
      </c>
      <c r="F221" s="425" t="s">
        <v>155</v>
      </c>
      <c r="G221" s="660">
        <f>G222</f>
        <v>1210</v>
      </c>
      <c r="H221" s="660">
        <f>H222</f>
        <v>1000</v>
      </c>
    </row>
    <row r="222" spans="1:9" ht="13.5">
      <c r="A222" s="106" t="s">
        <v>310</v>
      </c>
      <c r="B222" s="92" t="s">
        <v>630</v>
      </c>
      <c r="C222" s="105" t="s">
        <v>321</v>
      </c>
      <c r="D222" s="105" t="s">
        <v>140</v>
      </c>
      <c r="E222" s="104" t="s">
        <v>165</v>
      </c>
      <c r="F222" s="460" t="s">
        <v>155</v>
      </c>
      <c r="G222" s="660">
        <f>'пр.8 2024-2026г'!G304</f>
        <v>1210</v>
      </c>
      <c r="H222" s="660">
        <f>'пр.8 2024-2026г'!H304</f>
        <v>1000</v>
      </c>
    </row>
    <row r="223" spans="1:9" ht="38.25" hidden="1">
      <c r="A223" s="106" t="s">
        <v>537</v>
      </c>
      <c r="B223" s="92" t="s">
        <v>760</v>
      </c>
      <c r="C223" s="425"/>
      <c r="D223" s="425" t="s">
        <v>140</v>
      </c>
      <c r="E223" s="425" t="s">
        <v>165</v>
      </c>
      <c r="F223" s="425" t="s">
        <v>155</v>
      </c>
      <c r="G223" s="660"/>
      <c r="H223" s="660"/>
    </row>
    <row r="224" spans="1:9" ht="13.5" hidden="1">
      <c r="A224" s="106" t="s">
        <v>310</v>
      </c>
      <c r="B224" s="92" t="s">
        <v>760</v>
      </c>
      <c r="C224" s="105" t="s">
        <v>321</v>
      </c>
      <c r="D224" s="105" t="s">
        <v>140</v>
      </c>
      <c r="E224" s="104" t="s">
        <v>165</v>
      </c>
      <c r="F224" s="460" t="s">
        <v>155</v>
      </c>
      <c r="G224" s="660"/>
      <c r="H224" s="660"/>
    </row>
    <row r="225" spans="1:8" ht="38.25">
      <c r="A225" s="218" t="s">
        <v>1111</v>
      </c>
      <c r="B225" s="219" t="s">
        <v>379</v>
      </c>
      <c r="C225" s="219"/>
      <c r="D225" s="219" t="s">
        <v>140</v>
      </c>
      <c r="E225" s="267"/>
      <c r="F225" s="267"/>
      <c r="G225" s="771">
        <f>G226</f>
        <v>550</v>
      </c>
      <c r="H225" s="771">
        <f>H226</f>
        <v>550</v>
      </c>
    </row>
    <row r="226" spans="1:8" ht="25.5">
      <c r="A226" s="176" t="s">
        <v>683</v>
      </c>
      <c r="B226" s="425" t="s">
        <v>379</v>
      </c>
      <c r="C226" s="425"/>
      <c r="D226" s="514" t="s">
        <v>140</v>
      </c>
      <c r="E226" s="526" t="s">
        <v>161</v>
      </c>
      <c r="F226" s="526" t="s">
        <v>159</v>
      </c>
      <c r="G226" s="660">
        <f>G227+G230</f>
        <v>550</v>
      </c>
      <c r="H226" s="660">
        <f>H227+H230</f>
        <v>550</v>
      </c>
    </row>
    <row r="227" spans="1:8" ht="38.25">
      <c r="A227" s="492" t="s">
        <v>1103</v>
      </c>
      <c r="B227" s="105" t="s">
        <v>380</v>
      </c>
      <c r="C227" s="105"/>
      <c r="D227" s="105" t="s">
        <v>140</v>
      </c>
      <c r="E227" s="104" t="s">
        <v>161</v>
      </c>
      <c r="F227" s="104" t="s">
        <v>159</v>
      </c>
      <c r="G227" s="660">
        <f>G228+G229</f>
        <v>150</v>
      </c>
      <c r="H227" s="660">
        <f>H228+H229</f>
        <v>150</v>
      </c>
    </row>
    <row r="228" spans="1:8" ht="38.25">
      <c r="A228" s="110" t="s">
        <v>209</v>
      </c>
      <c r="B228" s="105" t="s">
        <v>380</v>
      </c>
      <c r="C228" s="105" t="s">
        <v>312</v>
      </c>
      <c r="D228" s="105" t="s">
        <v>140</v>
      </c>
      <c r="E228" s="104" t="s">
        <v>161</v>
      </c>
      <c r="F228" s="104" t="s">
        <v>159</v>
      </c>
      <c r="G228" s="660">
        <f>'пр.8 2024-2026г'!G163</f>
        <v>120</v>
      </c>
      <c r="H228" s="660">
        <f>'пр.8 2024-2026г'!H163</f>
        <v>120</v>
      </c>
    </row>
    <row r="229" spans="1:8" ht="15.75">
      <c r="A229" s="48" t="s">
        <v>130</v>
      </c>
      <c r="B229" s="105" t="s">
        <v>380</v>
      </c>
      <c r="C229" s="105" t="s">
        <v>746</v>
      </c>
      <c r="D229" s="105" t="s">
        <v>140</v>
      </c>
      <c r="E229" s="104" t="s">
        <v>161</v>
      </c>
      <c r="F229" s="104" t="s">
        <v>159</v>
      </c>
      <c r="G229" s="660">
        <f>'пр.8 2024-2026г'!G164</f>
        <v>30</v>
      </c>
      <c r="H229" s="660">
        <f>'пр.8 2024-2026г'!H164</f>
        <v>30</v>
      </c>
    </row>
    <row r="230" spans="1:8" ht="63.75">
      <c r="A230" s="110" t="s">
        <v>736</v>
      </c>
      <c r="B230" s="92" t="s">
        <v>737</v>
      </c>
      <c r="C230" s="105"/>
      <c r="D230" s="105" t="s">
        <v>140</v>
      </c>
      <c r="E230" s="104" t="s">
        <v>161</v>
      </c>
      <c r="F230" s="104" t="s">
        <v>159</v>
      </c>
      <c r="G230" s="660">
        <f>G231</f>
        <v>400</v>
      </c>
      <c r="H230" s="660">
        <f>H231</f>
        <v>400</v>
      </c>
    </row>
    <row r="231" spans="1:8" ht="38.25">
      <c r="A231" s="110" t="s">
        <v>209</v>
      </c>
      <c r="B231" s="92" t="s">
        <v>737</v>
      </c>
      <c r="C231" s="105" t="s">
        <v>312</v>
      </c>
      <c r="D231" s="105" t="s">
        <v>140</v>
      </c>
      <c r="E231" s="104" t="s">
        <v>161</v>
      </c>
      <c r="F231" s="104" t="s">
        <v>159</v>
      </c>
      <c r="G231" s="660">
        <f>'пр.8 2024-2026г'!G168</f>
        <v>400</v>
      </c>
      <c r="H231" s="660">
        <f>'пр.8 2024-2026г'!H168</f>
        <v>400</v>
      </c>
    </row>
    <row r="232" spans="1:8" ht="25.5">
      <c r="A232" s="218" t="s">
        <v>1168</v>
      </c>
      <c r="B232" s="219" t="s">
        <v>1170</v>
      </c>
      <c r="C232" s="219"/>
      <c r="D232" s="219" t="s">
        <v>140</v>
      </c>
      <c r="E232" s="267"/>
      <c r="F232" s="267"/>
      <c r="G232" s="771">
        <f>G233</f>
        <v>316</v>
      </c>
      <c r="H232" s="771">
        <f>H233</f>
        <v>316</v>
      </c>
    </row>
    <row r="233" spans="1:8" ht="25.5">
      <c r="A233" s="106" t="s">
        <v>1169</v>
      </c>
      <c r="B233" s="92" t="s">
        <v>1170</v>
      </c>
      <c r="C233" s="92"/>
      <c r="D233" s="105" t="s">
        <v>140</v>
      </c>
      <c r="E233" s="114"/>
      <c r="F233" s="114"/>
      <c r="G233" s="660">
        <f>G234+G236</f>
        <v>316</v>
      </c>
      <c r="H233" s="660">
        <f>H234+H236</f>
        <v>316</v>
      </c>
    </row>
    <row r="234" spans="1:8" ht="51">
      <c r="A234" s="463" t="s">
        <v>573</v>
      </c>
      <c r="B234" s="92" t="s">
        <v>1170</v>
      </c>
      <c r="C234" s="92"/>
      <c r="D234" s="105" t="s">
        <v>140</v>
      </c>
      <c r="E234" s="114" t="s">
        <v>152</v>
      </c>
      <c r="F234" s="114" t="s">
        <v>178</v>
      </c>
      <c r="G234" s="660">
        <f>G235</f>
        <v>158</v>
      </c>
      <c r="H234" s="660">
        <f>H235</f>
        <v>158</v>
      </c>
    </row>
    <row r="235" spans="1:8" ht="38.25">
      <c r="A235" s="110" t="s">
        <v>209</v>
      </c>
      <c r="B235" s="92" t="s">
        <v>1170</v>
      </c>
      <c r="C235" s="92" t="s">
        <v>312</v>
      </c>
      <c r="D235" s="105" t="s">
        <v>140</v>
      </c>
      <c r="E235" s="114" t="s">
        <v>152</v>
      </c>
      <c r="F235" s="114" t="s">
        <v>178</v>
      </c>
      <c r="G235" s="660">
        <f>'пр.8 2024-2026г'!G109</f>
        <v>158</v>
      </c>
      <c r="H235" s="660">
        <f>'пр.8 2024-2026г'!H111</f>
        <v>158</v>
      </c>
    </row>
    <row r="236" spans="1:8" ht="51">
      <c r="A236" s="463" t="s">
        <v>495</v>
      </c>
      <c r="B236" s="92" t="s">
        <v>1170</v>
      </c>
      <c r="C236" s="92"/>
      <c r="D236" s="105" t="s">
        <v>140</v>
      </c>
      <c r="E236" s="114" t="s">
        <v>152</v>
      </c>
      <c r="F236" s="114" t="s">
        <v>178</v>
      </c>
      <c r="G236" s="660">
        <f>G237</f>
        <v>158</v>
      </c>
      <c r="H236" s="660">
        <f>H237</f>
        <v>158</v>
      </c>
    </row>
    <row r="237" spans="1:8" ht="38.25">
      <c r="A237" s="110" t="s">
        <v>209</v>
      </c>
      <c r="B237" s="92" t="s">
        <v>1170</v>
      </c>
      <c r="C237" s="92" t="s">
        <v>312</v>
      </c>
      <c r="D237" s="105" t="s">
        <v>140</v>
      </c>
      <c r="E237" s="114" t="s">
        <v>152</v>
      </c>
      <c r="F237" s="114" t="s">
        <v>178</v>
      </c>
      <c r="G237" s="660">
        <f>'пр.8 2024-2026г'!G111</f>
        <v>158</v>
      </c>
      <c r="H237" s="660">
        <f>'пр.8 2024-2026г'!H111</f>
        <v>158</v>
      </c>
    </row>
    <row r="238" spans="1:8" ht="25.5">
      <c r="A238" s="113" t="s">
        <v>1106</v>
      </c>
      <c r="B238" s="103" t="s">
        <v>428</v>
      </c>
      <c r="C238" s="103"/>
      <c r="D238" s="103"/>
      <c r="E238" s="103"/>
      <c r="F238" s="103"/>
      <c r="G238" s="115">
        <f>G239+G245</f>
        <v>602.04081999999994</v>
      </c>
      <c r="H238" s="115">
        <f>H239+H245</f>
        <v>612.04081999999994</v>
      </c>
    </row>
    <row r="239" spans="1:8" ht="51">
      <c r="A239" s="218" t="s">
        <v>1107</v>
      </c>
      <c r="B239" s="266" t="s">
        <v>624</v>
      </c>
      <c r="C239" s="219"/>
      <c r="D239" s="266">
        <v>934</v>
      </c>
      <c r="E239" s="266" t="s">
        <v>157</v>
      </c>
      <c r="F239" s="266" t="s">
        <v>161</v>
      </c>
      <c r="G239" s="324">
        <f>G240</f>
        <v>400</v>
      </c>
      <c r="H239" s="324">
        <f t="shared" ref="H239" si="0">H241+H243</f>
        <v>400</v>
      </c>
    </row>
    <row r="240" spans="1:8" ht="25.5">
      <c r="A240" s="538" t="s">
        <v>623</v>
      </c>
      <c r="B240" s="100" t="s">
        <v>624</v>
      </c>
      <c r="C240" s="425"/>
      <c r="D240" s="514">
        <v>934</v>
      </c>
      <c r="E240" s="514" t="s">
        <v>157</v>
      </c>
      <c r="F240" s="514" t="s">
        <v>161</v>
      </c>
      <c r="G240" s="426">
        <f>G241+G243</f>
        <v>400</v>
      </c>
      <c r="H240" s="426">
        <f t="shared" ref="H240" si="1">H241+H243</f>
        <v>400</v>
      </c>
    </row>
    <row r="241" spans="1:8" ht="38.25" hidden="1">
      <c r="A241" s="423" t="s">
        <v>517</v>
      </c>
      <c r="B241" s="100" t="s">
        <v>424</v>
      </c>
      <c r="C241" s="425"/>
      <c r="D241" s="105">
        <v>934</v>
      </c>
      <c r="E241" s="105" t="s">
        <v>157</v>
      </c>
      <c r="F241" s="105" t="s">
        <v>161</v>
      </c>
      <c r="G241" s="426">
        <f>G242</f>
        <v>0</v>
      </c>
      <c r="H241" s="324">
        <f>H242</f>
        <v>0</v>
      </c>
    </row>
    <row r="242" spans="1:8" hidden="1">
      <c r="A242" s="106" t="s">
        <v>263</v>
      </c>
      <c r="B242" s="100" t="s">
        <v>424</v>
      </c>
      <c r="C242" s="105" t="s">
        <v>262</v>
      </c>
      <c r="D242" s="105">
        <v>934</v>
      </c>
      <c r="E242" s="105" t="s">
        <v>157</v>
      </c>
      <c r="F242" s="105" t="s">
        <v>161</v>
      </c>
      <c r="G242" s="117">
        <f>'пр.7 2024г'!G539</f>
        <v>0</v>
      </c>
      <c r="H242" s="117">
        <f>G242</f>
        <v>0</v>
      </c>
    </row>
    <row r="243" spans="1:8" ht="51">
      <c r="A243" s="423" t="s">
        <v>518</v>
      </c>
      <c r="B243" s="100" t="s">
        <v>424</v>
      </c>
      <c r="C243" s="105"/>
      <c r="D243" s="105">
        <v>934</v>
      </c>
      <c r="E243" s="105" t="s">
        <v>157</v>
      </c>
      <c r="F243" s="105" t="s">
        <v>161</v>
      </c>
      <c r="G243" s="117">
        <f>G244</f>
        <v>400</v>
      </c>
      <c r="H243" s="117">
        <f>H244</f>
        <v>400</v>
      </c>
    </row>
    <row r="244" spans="1:8">
      <c r="A244" s="106" t="s">
        <v>263</v>
      </c>
      <c r="B244" s="100" t="s">
        <v>424</v>
      </c>
      <c r="C244" s="105" t="s">
        <v>262</v>
      </c>
      <c r="D244" s="424">
        <v>934</v>
      </c>
      <c r="E244" s="101" t="s">
        <v>157</v>
      </c>
      <c r="F244" s="101" t="s">
        <v>161</v>
      </c>
      <c r="G244" s="117">
        <f>'пр.8 2024-2026г'!G233</f>
        <v>400</v>
      </c>
      <c r="H244" s="117">
        <f>'пр.8 2024-2026г'!H233</f>
        <v>400</v>
      </c>
    </row>
    <row r="245" spans="1:8" ht="25.5">
      <c r="A245" s="218" t="s">
        <v>1108</v>
      </c>
      <c r="B245" s="219" t="s">
        <v>773</v>
      </c>
      <c r="C245" s="219"/>
      <c r="D245" s="92" t="s">
        <v>140</v>
      </c>
      <c r="E245" s="92" t="s">
        <v>154</v>
      </c>
      <c r="F245" s="92" t="s">
        <v>154</v>
      </c>
      <c r="G245" s="324">
        <f>G246</f>
        <v>202.04082</v>
      </c>
      <c r="H245" s="324">
        <f>H246</f>
        <v>212.04082</v>
      </c>
    </row>
    <row r="246" spans="1:8">
      <c r="A246" s="110" t="s">
        <v>646</v>
      </c>
      <c r="B246" s="592" t="s">
        <v>393</v>
      </c>
      <c r="C246" s="92"/>
      <c r="D246" s="92" t="s">
        <v>140</v>
      </c>
      <c r="E246" s="92" t="s">
        <v>154</v>
      </c>
      <c r="F246" s="92" t="s">
        <v>154</v>
      </c>
      <c r="G246" s="281">
        <f>G247+G249+G250+G252+G248</f>
        <v>202.04082</v>
      </c>
      <c r="H246" s="281">
        <f>H247+H249+H250+H252+H248</f>
        <v>212.04082</v>
      </c>
    </row>
    <row r="247" spans="1:8" ht="38.25">
      <c r="A247" s="110" t="s">
        <v>209</v>
      </c>
      <c r="B247" s="592" t="s">
        <v>393</v>
      </c>
      <c r="C247" s="92" t="s">
        <v>312</v>
      </c>
      <c r="D247" s="92" t="s">
        <v>140</v>
      </c>
      <c r="E247" s="92" t="s">
        <v>154</v>
      </c>
      <c r="F247" s="92" t="s">
        <v>154</v>
      </c>
      <c r="G247" s="281">
        <f>'пр.8 2024-2026г'!G186</f>
        <v>70</v>
      </c>
      <c r="H247" s="281">
        <f>'пр.8 2024-2026г'!H186</f>
        <v>80</v>
      </c>
    </row>
    <row r="248" spans="1:8">
      <c r="A248" s="106" t="s">
        <v>130</v>
      </c>
      <c r="B248" s="592" t="s">
        <v>393</v>
      </c>
      <c r="C248" s="92" t="s">
        <v>746</v>
      </c>
      <c r="D248" s="92" t="s">
        <v>140</v>
      </c>
      <c r="E248" s="92" t="s">
        <v>154</v>
      </c>
      <c r="F248" s="92" t="s">
        <v>154</v>
      </c>
      <c r="G248" s="281">
        <f>'пр.8 2024-2026г'!G187</f>
        <v>30</v>
      </c>
      <c r="H248" s="281">
        <f>'пр.8 2024-2026г'!H187</f>
        <v>30</v>
      </c>
    </row>
    <row r="249" spans="1:8" ht="38.25">
      <c r="A249" s="110" t="s">
        <v>209</v>
      </c>
      <c r="B249" s="592" t="s">
        <v>393</v>
      </c>
      <c r="C249" s="92" t="s">
        <v>312</v>
      </c>
      <c r="D249" s="92" t="s">
        <v>82</v>
      </c>
      <c r="E249" s="92" t="s">
        <v>154</v>
      </c>
      <c r="F249" s="92" t="s">
        <v>156</v>
      </c>
      <c r="G249" s="281">
        <f>'пр.7 2024г'!G843</f>
        <v>0</v>
      </c>
      <c r="H249" s="117">
        <v>0</v>
      </c>
    </row>
    <row r="250" spans="1:8" ht="25.5">
      <c r="A250" s="423" t="s">
        <v>770</v>
      </c>
      <c r="B250" s="92" t="s">
        <v>774</v>
      </c>
      <c r="C250" s="92"/>
      <c r="D250" s="92" t="s">
        <v>140</v>
      </c>
      <c r="E250" s="92" t="s">
        <v>154</v>
      </c>
      <c r="F250" s="92" t="s">
        <v>154</v>
      </c>
      <c r="G250" s="281">
        <f>G251</f>
        <v>100</v>
      </c>
      <c r="H250" s="117">
        <f>H251</f>
        <v>100</v>
      </c>
    </row>
    <row r="251" spans="1:8" ht="38.25">
      <c r="A251" s="110" t="s">
        <v>209</v>
      </c>
      <c r="B251" s="92" t="s">
        <v>774</v>
      </c>
      <c r="C251" s="92" t="s">
        <v>312</v>
      </c>
      <c r="D251" s="92" t="s">
        <v>140</v>
      </c>
      <c r="E251" s="92" t="s">
        <v>154</v>
      </c>
      <c r="F251" s="92" t="s">
        <v>154</v>
      </c>
      <c r="G251" s="281">
        <f>'пр.8 2024-2026г'!G189</f>
        <v>100</v>
      </c>
      <c r="H251" s="281">
        <f>'пр.8 2024-2026г'!H189</f>
        <v>100</v>
      </c>
    </row>
    <row r="252" spans="1:8" ht="38.25">
      <c r="A252" s="110" t="s">
        <v>775</v>
      </c>
      <c r="B252" s="92" t="s">
        <v>774</v>
      </c>
      <c r="C252" s="92"/>
      <c r="D252" s="92" t="s">
        <v>140</v>
      </c>
      <c r="E252" s="92" t="s">
        <v>154</v>
      </c>
      <c r="F252" s="92" t="s">
        <v>154</v>
      </c>
      <c r="G252" s="281">
        <f>G253</f>
        <v>2.0408200000000001</v>
      </c>
      <c r="H252" s="281">
        <f>H253</f>
        <v>2.0408200000000001</v>
      </c>
    </row>
    <row r="253" spans="1:8">
      <c r="A253" s="106" t="s">
        <v>205</v>
      </c>
      <c r="B253" s="92" t="s">
        <v>774</v>
      </c>
      <c r="C253" s="92" t="s">
        <v>202</v>
      </c>
      <c r="D253" s="92" t="s">
        <v>140</v>
      </c>
      <c r="E253" s="92" t="s">
        <v>154</v>
      </c>
      <c r="F253" s="92" t="s">
        <v>154</v>
      </c>
      <c r="G253" s="281">
        <f>'пр.8 2024-2026г'!G191</f>
        <v>2.0408200000000001</v>
      </c>
      <c r="H253" s="281">
        <f>'пр.8 2024-2026г'!H191</f>
        <v>2.0408200000000001</v>
      </c>
    </row>
    <row r="254" spans="1:8" ht="38.25">
      <c r="A254" s="113" t="s">
        <v>1109</v>
      </c>
      <c r="B254" s="103" t="s">
        <v>404</v>
      </c>
      <c r="C254" s="103"/>
      <c r="D254" s="103">
        <v>934</v>
      </c>
      <c r="E254" s="103"/>
      <c r="F254" s="103"/>
      <c r="G254" s="115">
        <f>G255</f>
        <v>94981.490709999998</v>
      </c>
      <c r="H254" s="115">
        <f>H255</f>
        <v>94981.490709999998</v>
      </c>
    </row>
    <row r="255" spans="1:8" ht="25.5">
      <c r="A255" s="113" t="s">
        <v>682</v>
      </c>
      <c r="B255" s="103" t="s">
        <v>404</v>
      </c>
      <c r="C255" s="103"/>
      <c r="D255" s="103">
        <v>934</v>
      </c>
      <c r="E255" s="103" t="s">
        <v>681</v>
      </c>
      <c r="F255" s="103" t="s">
        <v>790</v>
      </c>
      <c r="G255" s="115">
        <f>G256+G258+G260+G261+G263+G265+G267+G269</f>
        <v>94981.490709999998</v>
      </c>
      <c r="H255" s="115">
        <f>H256+H258+H260+H261+H263+H265+H267+H269</f>
        <v>94981.490709999998</v>
      </c>
    </row>
    <row r="256" spans="1:8" ht="102">
      <c r="A256" s="108" t="s">
        <v>122</v>
      </c>
      <c r="B256" s="101" t="s">
        <v>490</v>
      </c>
      <c r="C256" s="101"/>
      <c r="D256" s="104" t="s">
        <v>140</v>
      </c>
      <c r="E256" s="104" t="s">
        <v>154</v>
      </c>
      <c r="F256" s="104" t="s">
        <v>155</v>
      </c>
      <c r="G256" s="116">
        <f>G257</f>
        <v>8553.2000000000007</v>
      </c>
      <c r="H256" s="116">
        <f t="shared" ref="H256" si="2">H257</f>
        <v>8553.2000000000007</v>
      </c>
    </row>
    <row r="257" spans="1:8">
      <c r="A257" s="106" t="s">
        <v>269</v>
      </c>
      <c r="B257" s="100" t="s">
        <v>490</v>
      </c>
      <c r="C257" s="100" t="s">
        <v>270</v>
      </c>
      <c r="D257" s="105" t="s">
        <v>140</v>
      </c>
      <c r="E257" s="105" t="s">
        <v>154</v>
      </c>
      <c r="F257" s="105" t="s">
        <v>155</v>
      </c>
      <c r="G257" s="116">
        <f>'пр.8 2024-2026г'!G178</f>
        <v>8553.2000000000007</v>
      </c>
      <c r="H257" s="116">
        <f>'пр.8 2024-2026г'!H178</f>
        <v>8553.2000000000007</v>
      </c>
    </row>
    <row r="258" spans="1:8" ht="102">
      <c r="A258" s="106" t="s">
        <v>489</v>
      </c>
      <c r="B258" s="100" t="s">
        <v>490</v>
      </c>
      <c r="C258" s="101"/>
      <c r="D258" s="104" t="s">
        <v>140</v>
      </c>
      <c r="E258" s="104" t="s">
        <v>154</v>
      </c>
      <c r="F258" s="104" t="s">
        <v>155</v>
      </c>
      <c r="G258" s="116">
        <f>G259</f>
        <v>3500</v>
      </c>
      <c r="H258" s="117">
        <f>H259</f>
        <v>3500</v>
      </c>
    </row>
    <row r="259" spans="1:8">
      <c r="A259" s="106" t="s">
        <v>269</v>
      </c>
      <c r="B259" s="100" t="s">
        <v>490</v>
      </c>
      <c r="C259" s="100" t="s">
        <v>270</v>
      </c>
      <c r="D259" s="105" t="s">
        <v>140</v>
      </c>
      <c r="E259" s="105" t="s">
        <v>154</v>
      </c>
      <c r="F259" s="105" t="s">
        <v>155</v>
      </c>
      <c r="G259" s="116">
        <f>'пр.8 2024-2026г'!G179</f>
        <v>3500</v>
      </c>
      <c r="H259" s="116">
        <f>'пр.8 2024-2026г'!H179</f>
        <v>3500</v>
      </c>
    </row>
    <row r="260" spans="1:8">
      <c r="A260" s="106" t="s">
        <v>267</v>
      </c>
      <c r="B260" s="92" t="s">
        <v>392</v>
      </c>
      <c r="C260" s="100" t="s">
        <v>320</v>
      </c>
      <c r="D260" s="105" t="s">
        <v>140</v>
      </c>
      <c r="E260" s="92" t="s">
        <v>154</v>
      </c>
      <c r="F260" s="92" t="s">
        <v>155</v>
      </c>
      <c r="G260" s="116">
        <f>'пр.8 2024-2026г'!G181</f>
        <v>10529.6</v>
      </c>
      <c r="H260" s="116">
        <f>'пр.8 2024-2026г'!H181</f>
        <v>10529.6</v>
      </c>
    </row>
    <row r="261" spans="1:8" ht="51">
      <c r="A261" s="40" t="s">
        <v>97</v>
      </c>
      <c r="B261" s="100" t="s">
        <v>394</v>
      </c>
      <c r="C261" s="101"/>
      <c r="D261" s="104" t="s">
        <v>140</v>
      </c>
      <c r="E261" s="104" t="s">
        <v>163</v>
      </c>
      <c r="F261" s="104" t="s">
        <v>152</v>
      </c>
      <c r="G261" s="325">
        <f>G262</f>
        <v>19913.099999999999</v>
      </c>
      <c r="H261" s="325">
        <f t="shared" ref="H261" si="3">H262</f>
        <v>19913.099999999999</v>
      </c>
    </row>
    <row r="262" spans="1:8" ht="51">
      <c r="A262" s="106" t="s">
        <v>204</v>
      </c>
      <c r="B262" s="100" t="s">
        <v>394</v>
      </c>
      <c r="C262" s="100" t="s">
        <v>319</v>
      </c>
      <c r="D262" s="105" t="s">
        <v>140</v>
      </c>
      <c r="E262" s="105" t="s">
        <v>163</v>
      </c>
      <c r="F262" s="105" t="s">
        <v>152</v>
      </c>
      <c r="G262" s="116">
        <f>'пр.8 2024-2026г'!G197</f>
        <v>19913.099999999999</v>
      </c>
      <c r="H262" s="116">
        <f>'пр.8 2024-2026г'!H197</f>
        <v>19913.099999999999</v>
      </c>
    </row>
    <row r="263" spans="1:8" ht="51">
      <c r="A263" s="40" t="s">
        <v>97</v>
      </c>
      <c r="B263" s="100" t="s">
        <v>395</v>
      </c>
      <c r="C263" s="100"/>
      <c r="D263" s="104" t="s">
        <v>140</v>
      </c>
      <c r="E263" s="104" t="s">
        <v>163</v>
      </c>
      <c r="F263" s="104" t="s">
        <v>152</v>
      </c>
      <c r="G263" s="116">
        <f>G264</f>
        <v>4869.3907099999997</v>
      </c>
      <c r="H263" s="116">
        <f t="shared" ref="H263" si="4">H264</f>
        <v>4869.3907099999997</v>
      </c>
    </row>
    <row r="264" spans="1:8" ht="51">
      <c r="A264" s="106" t="s">
        <v>204</v>
      </c>
      <c r="B264" s="100" t="s">
        <v>395</v>
      </c>
      <c r="C264" s="100" t="s">
        <v>319</v>
      </c>
      <c r="D264" s="105" t="s">
        <v>140</v>
      </c>
      <c r="E264" s="105" t="s">
        <v>163</v>
      </c>
      <c r="F264" s="105" t="s">
        <v>152</v>
      </c>
      <c r="G264" s="116">
        <f>'пр.8 2024-2026г'!G199</f>
        <v>4869.3907099999997</v>
      </c>
      <c r="H264" s="116">
        <f>'пр.8 2024-2026г'!H199</f>
        <v>4869.3907099999997</v>
      </c>
    </row>
    <row r="265" spans="1:8" ht="25.5">
      <c r="A265" s="106" t="s">
        <v>98</v>
      </c>
      <c r="B265" s="92" t="s">
        <v>530</v>
      </c>
      <c r="C265" s="100"/>
      <c r="D265" s="105" t="s">
        <v>140</v>
      </c>
      <c r="E265" s="105" t="s">
        <v>163</v>
      </c>
      <c r="F265" s="105" t="s">
        <v>152</v>
      </c>
      <c r="G265" s="116">
        <f>G266</f>
        <v>30091.200000000001</v>
      </c>
      <c r="H265" s="116">
        <f t="shared" ref="H265" si="5">H266</f>
        <v>30091.200000000001</v>
      </c>
    </row>
    <row r="266" spans="1:8">
      <c r="A266" s="106" t="s">
        <v>205</v>
      </c>
      <c r="B266" s="92" t="s">
        <v>530</v>
      </c>
      <c r="C266" s="100" t="s">
        <v>202</v>
      </c>
      <c r="D266" s="105" t="s">
        <v>140</v>
      </c>
      <c r="E266" s="105" t="s">
        <v>163</v>
      </c>
      <c r="F266" s="105" t="s">
        <v>152</v>
      </c>
      <c r="G266" s="116">
        <f>'пр.8 2024-2026г'!G201</f>
        <v>30091.200000000001</v>
      </c>
      <c r="H266" s="117">
        <f>G266</f>
        <v>30091.200000000001</v>
      </c>
    </row>
    <row r="267" spans="1:8" ht="38.25">
      <c r="A267" s="106" t="s">
        <v>488</v>
      </c>
      <c r="B267" s="92" t="s">
        <v>530</v>
      </c>
      <c r="C267" s="100"/>
      <c r="D267" s="105" t="s">
        <v>140</v>
      </c>
      <c r="E267" s="105" t="s">
        <v>163</v>
      </c>
      <c r="F267" s="105" t="s">
        <v>152</v>
      </c>
      <c r="G267" s="116">
        <f>G268</f>
        <v>16938</v>
      </c>
      <c r="H267" s="116">
        <f>H268</f>
        <v>16938</v>
      </c>
    </row>
    <row r="268" spans="1:8">
      <c r="A268" s="106" t="s">
        <v>205</v>
      </c>
      <c r="B268" s="92" t="s">
        <v>530</v>
      </c>
      <c r="C268" s="100" t="s">
        <v>202</v>
      </c>
      <c r="D268" s="105" t="s">
        <v>140</v>
      </c>
      <c r="E268" s="105" t="s">
        <v>163</v>
      </c>
      <c r="F268" s="105" t="s">
        <v>152</v>
      </c>
      <c r="G268" s="116">
        <f>'пр.8 2024-2026г'!G203</f>
        <v>16938</v>
      </c>
      <c r="H268" s="116">
        <f>'пр.8 2024-2026г'!H203</f>
        <v>16938</v>
      </c>
    </row>
    <row r="269" spans="1:8" ht="229.5">
      <c r="A269" s="21" t="s">
        <v>525</v>
      </c>
      <c r="B269" s="92" t="s">
        <v>327</v>
      </c>
      <c r="C269" s="100"/>
      <c r="D269" s="105" t="s">
        <v>140</v>
      </c>
      <c r="E269" s="105"/>
      <c r="F269" s="105"/>
      <c r="G269" s="116">
        <f>G270+G271</f>
        <v>587</v>
      </c>
      <c r="H269" s="116">
        <f t="shared" ref="H269" si="6">H270+H271</f>
        <v>587</v>
      </c>
    </row>
    <row r="270" spans="1:8">
      <c r="A270" s="106" t="s">
        <v>205</v>
      </c>
      <c r="B270" s="92" t="s">
        <v>327</v>
      </c>
      <c r="C270" s="100" t="s">
        <v>202</v>
      </c>
      <c r="D270" s="105" t="s">
        <v>140</v>
      </c>
      <c r="E270" s="105" t="s">
        <v>157</v>
      </c>
      <c r="F270" s="105" t="s">
        <v>155</v>
      </c>
      <c r="G270" s="116">
        <f>'пр.8 2024-2026г'!G221</f>
        <v>384</v>
      </c>
      <c r="H270" s="117">
        <f>G270</f>
        <v>384</v>
      </c>
    </row>
    <row r="271" spans="1:8">
      <c r="A271" s="106" t="s">
        <v>269</v>
      </c>
      <c r="B271" s="92" t="s">
        <v>327</v>
      </c>
      <c r="C271" s="100" t="s">
        <v>270</v>
      </c>
      <c r="D271" s="105" t="s">
        <v>140</v>
      </c>
      <c r="E271" s="105" t="s">
        <v>157</v>
      </c>
      <c r="F271" s="105" t="s">
        <v>155</v>
      </c>
      <c r="G271" s="116">
        <f>'пр.8 2024-2026г'!G222</f>
        <v>203</v>
      </c>
      <c r="H271" s="117">
        <f>G271</f>
        <v>203</v>
      </c>
    </row>
    <row r="272" spans="1:8" ht="38.25">
      <c r="A272" s="113" t="s">
        <v>1113</v>
      </c>
      <c r="B272" s="103" t="s">
        <v>428</v>
      </c>
      <c r="C272" s="103"/>
      <c r="D272" s="103" t="s">
        <v>140</v>
      </c>
      <c r="E272" s="103"/>
      <c r="F272" s="103"/>
      <c r="G272" s="115">
        <f>G273</f>
        <v>35778.486000000004</v>
      </c>
      <c r="H272" s="115">
        <f t="shared" ref="H272" si="7">H273</f>
        <v>35778.486000000004</v>
      </c>
    </row>
    <row r="273" spans="1:8" ht="25.5">
      <c r="A273" s="113" t="s">
        <v>649</v>
      </c>
      <c r="B273" s="103" t="s">
        <v>684</v>
      </c>
      <c r="C273" s="103"/>
      <c r="D273" s="103" t="s">
        <v>140</v>
      </c>
      <c r="E273" s="103" t="s">
        <v>160</v>
      </c>
      <c r="F273" s="103" t="s">
        <v>685</v>
      </c>
      <c r="G273" s="115">
        <f>G274+G275+G276+G277+G278+G281+G284+G285+G287+G289</f>
        <v>35778.486000000004</v>
      </c>
      <c r="H273" s="115">
        <f>H274+H275+H276+H277+H278+H281+H284+H285+H287+H289</f>
        <v>35778.486000000004</v>
      </c>
    </row>
    <row r="274" spans="1:8" ht="51">
      <c r="A274" s="263" t="s">
        <v>529</v>
      </c>
      <c r="B274" s="100" t="s">
        <v>397</v>
      </c>
      <c r="C274" s="514" t="s">
        <v>528</v>
      </c>
      <c r="D274" s="105" t="s">
        <v>140</v>
      </c>
      <c r="E274" s="105" t="s">
        <v>160</v>
      </c>
      <c r="F274" s="105" t="s">
        <v>152</v>
      </c>
      <c r="G274" s="323">
        <f>'пр.8 2024-2026г'!G254</f>
        <v>12</v>
      </c>
      <c r="H274" s="323">
        <f>'пр.8 2024-2026г'!H254</f>
        <v>12</v>
      </c>
    </row>
    <row r="275" spans="1:8" ht="38.25">
      <c r="A275" s="110" t="s">
        <v>209</v>
      </c>
      <c r="B275" s="100" t="s">
        <v>397</v>
      </c>
      <c r="C275" s="100" t="s">
        <v>312</v>
      </c>
      <c r="D275" s="105" t="s">
        <v>140</v>
      </c>
      <c r="E275" s="105" t="s">
        <v>160</v>
      </c>
      <c r="F275" s="105" t="s">
        <v>152</v>
      </c>
      <c r="G275" s="117">
        <f>'пр.8 2024-2026г'!G255</f>
        <v>300</v>
      </c>
      <c r="H275" s="117">
        <f>'пр.8 2024-2026г'!H255</f>
        <v>300</v>
      </c>
    </row>
    <row r="276" spans="1:8">
      <c r="A276" s="465" t="s">
        <v>494</v>
      </c>
      <c r="B276" s="100" t="s">
        <v>397</v>
      </c>
      <c r="C276" s="100" t="s">
        <v>493</v>
      </c>
      <c r="D276" s="105" t="s">
        <v>140</v>
      </c>
      <c r="E276" s="105" t="s">
        <v>160</v>
      </c>
      <c r="F276" s="105" t="s">
        <v>152</v>
      </c>
      <c r="G276" s="117">
        <f>'пр.8 2024-2026г'!G256</f>
        <v>888</v>
      </c>
      <c r="H276" s="117">
        <f>'пр.8 2024-2026г'!H256</f>
        <v>888</v>
      </c>
    </row>
    <row r="277" spans="1:8" hidden="1">
      <c r="A277" s="106" t="s">
        <v>130</v>
      </c>
      <c r="B277" s="100" t="s">
        <v>397</v>
      </c>
      <c r="C277" s="100" t="s">
        <v>746</v>
      </c>
      <c r="D277" s="105" t="s">
        <v>140</v>
      </c>
      <c r="E277" s="105" t="s">
        <v>160</v>
      </c>
      <c r="F277" s="105" t="s">
        <v>152</v>
      </c>
      <c r="G277" s="117">
        <f>'пр.8 2024-2026г'!G257</f>
        <v>0</v>
      </c>
      <c r="H277" s="117">
        <f>'пр.8 2024-2026г'!H257</f>
        <v>0</v>
      </c>
    </row>
    <row r="278" spans="1:8" ht="25.5" hidden="1">
      <c r="A278" s="40" t="s">
        <v>72</v>
      </c>
      <c r="B278" s="92" t="s">
        <v>821</v>
      </c>
      <c r="C278" s="92"/>
      <c r="D278" s="105" t="s">
        <v>140</v>
      </c>
      <c r="E278" s="105" t="s">
        <v>160</v>
      </c>
      <c r="F278" s="105" t="s">
        <v>153</v>
      </c>
      <c r="G278" s="117">
        <f>G279+G280</f>
        <v>0</v>
      </c>
      <c r="H278" s="117">
        <f>H279+H280</f>
        <v>0</v>
      </c>
    </row>
    <row r="279" spans="1:8" hidden="1">
      <c r="A279" s="106" t="s">
        <v>446</v>
      </c>
      <c r="B279" s="92" t="s">
        <v>821</v>
      </c>
      <c r="C279" s="92" t="s">
        <v>332</v>
      </c>
      <c r="D279" s="105" t="s">
        <v>140</v>
      </c>
      <c r="E279" s="105" t="s">
        <v>160</v>
      </c>
      <c r="F279" s="105" t="s">
        <v>153</v>
      </c>
      <c r="G279" s="117">
        <f>'пр.8 2024-2026г'!G265</f>
        <v>0</v>
      </c>
      <c r="H279" s="117">
        <f>'пр.8 2024-2026г'!H265</f>
        <v>0</v>
      </c>
    </row>
    <row r="280" spans="1:8" ht="51" hidden="1">
      <c r="A280" s="109" t="s">
        <v>447</v>
      </c>
      <c r="B280" s="92" t="s">
        <v>821</v>
      </c>
      <c r="C280" s="114" t="s">
        <v>334</v>
      </c>
      <c r="D280" s="105" t="s">
        <v>140</v>
      </c>
      <c r="E280" s="105" t="s">
        <v>160</v>
      </c>
      <c r="F280" s="105" t="s">
        <v>153</v>
      </c>
      <c r="G280" s="117">
        <f>'пр.8 2024-2026г'!G266</f>
        <v>0</v>
      </c>
      <c r="H280" s="117">
        <f>'пр.8 2024-2026г'!H266</f>
        <v>0</v>
      </c>
    </row>
    <row r="281" spans="1:8" ht="25.5">
      <c r="A281" s="40" t="s">
        <v>294</v>
      </c>
      <c r="B281" s="92" t="s">
        <v>821</v>
      </c>
      <c r="C281" s="92"/>
      <c r="D281" s="105" t="s">
        <v>140</v>
      </c>
      <c r="E281" s="105" t="s">
        <v>160</v>
      </c>
      <c r="F281" s="105" t="s">
        <v>153</v>
      </c>
      <c r="G281" s="117">
        <f>G282+G283</f>
        <v>2320.9859999999999</v>
      </c>
      <c r="H281" s="117">
        <f>H282+H283</f>
        <v>2320.9859999999999</v>
      </c>
    </row>
    <row r="282" spans="1:8">
      <c r="A282" s="106" t="s">
        <v>446</v>
      </c>
      <c r="B282" s="92" t="s">
        <v>821</v>
      </c>
      <c r="C282" s="92" t="s">
        <v>332</v>
      </c>
      <c r="D282" s="105" t="s">
        <v>140</v>
      </c>
      <c r="E282" s="105" t="s">
        <v>160</v>
      </c>
      <c r="F282" s="105" t="s">
        <v>153</v>
      </c>
      <c r="G282" s="117">
        <f>'пр.8 2024-2026г'!G262</f>
        <v>1782.6310000000001</v>
      </c>
      <c r="H282" s="117">
        <f>'пр.8 2024-2026г'!H262</f>
        <v>1782.6310000000001</v>
      </c>
    </row>
    <row r="283" spans="1:8" ht="51">
      <c r="A283" s="109" t="s">
        <v>447</v>
      </c>
      <c r="B283" s="92" t="s">
        <v>821</v>
      </c>
      <c r="C283" s="100" t="s">
        <v>334</v>
      </c>
      <c r="D283" s="105" t="s">
        <v>140</v>
      </c>
      <c r="E283" s="105" t="s">
        <v>160</v>
      </c>
      <c r="F283" s="105" t="s">
        <v>153</v>
      </c>
      <c r="G283" s="117">
        <f>'пр.8 2024-2026г'!G263</f>
        <v>538.35500000000002</v>
      </c>
      <c r="H283" s="117">
        <f>'пр.8 2024-2026г'!H263</f>
        <v>538.35500000000002</v>
      </c>
    </row>
    <row r="284" spans="1:8">
      <c r="A284" s="106" t="s">
        <v>267</v>
      </c>
      <c r="B284" s="100" t="s">
        <v>397</v>
      </c>
      <c r="C284" s="100" t="s">
        <v>320</v>
      </c>
      <c r="D284" s="105" t="s">
        <v>140</v>
      </c>
      <c r="E284" s="105" t="s">
        <v>160</v>
      </c>
      <c r="F284" s="105" t="s">
        <v>155</v>
      </c>
      <c r="G284" s="117">
        <f>'пр.8 2024-2026г'!G274</f>
        <v>6200</v>
      </c>
      <c r="H284" s="117">
        <f>'пр.8 2024-2026г'!H274</f>
        <v>6200</v>
      </c>
    </row>
    <row r="285" spans="1:8" ht="25.5">
      <c r="A285" s="40" t="s">
        <v>519</v>
      </c>
      <c r="B285" s="478" t="s">
        <v>521</v>
      </c>
      <c r="C285" s="100"/>
      <c r="D285" s="105" t="s">
        <v>140</v>
      </c>
      <c r="E285" s="105" t="s">
        <v>160</v>
      </c>
      <c r="F285" s="105" t="s">
        <v>155</v>
      </c>
      <c r="G285" s="117">
        <f>G286</f>
        <v>17305.400000000001</v>
      </c>
      <c r="H285" s="117">
        <f>H286</f>
        <v>17305.400000000001</v>
      </c>
    </row>
    <row r="286" spans="1:8">
      <c r="A286" s="106" t="s">
        <v>269</v>
      </c>
      <c r="B286" s="478" t="s">
        <v>521</v>
      </c>
      <c r="C286" s="100" t="s">
        <v>270</v>
      </c>
      <c r="D286" s="105" t="s">
        <v>140</v>
      </c>
      <c r="E286" s="105" t="s">
        <v>160</v>
      </c>
      <c r="F286" s="105" t="s">
        <v>155</v>
      </c>
      <c r="G286" s="117">
        <f>'пр.8 2024-2026г'!G278</f>
        <v>17305.400000000001</v>
      </c>
      <c r="H286" s="117">
        <f>'пр.8 2024-2026г'!H278</f>
        <v>17305.400000000001</v>
      </c>
    </row>
    <row r="287" spans="1:8" ht="38.25">
      <c r="A287" s="40" t="s">
        <v>526</v>
      </c>
      <c r="B287" s="478" t="s">
        <v>521</v>
      </c>
      <c r="C287" s="100"/>
      <c r="D287" s="105" t="s">
        <v>140</v>
      </c>
      <c r="E287" s="105" t="s">
        <v>160</v>
      </c>
      <c r="F287" s="105" t="s">
        <v>155</v>
      </c>
      <c r="G287" s="117">
        <f>G288</f>
        <v>8523.6</v>
      </c>
      <c r="H287" s="117">
        <f t="shared" ref="H287" si="8">H288</f>
        <v>8523.6</v>
      </c>
    </row>
    <row r="288" spans="1:8">
      <c r="A288" s="106" t="s">
        <v>267</v>
      </c>
      <c r="B288" s="479" t="s">
        <v>521</v>
      </c>
      <c r="C288" s="100" t="s">
        <v>270</v>
      </c>
      <c r="D288" s="105" t="s">
        <v>140</v>
      </c>
      <c r="E288" s="105" t="s">
        <v>160</v>
      </c>
      <c r="F288" s="105" t="s">
        <v>155</v>
      </c>
      <c r="G288" s="117">
        <f>'пр.8 2024-2026г'!G280</f>
        <v>8523.6</v>
      </c>
      <c r="H288" s="117">
        <f>'пр.8 2024-2026г'!H280</f>
        <v>8523.6</v>
      </c>
    </row>
    <row r="289" spans="1:8" ht="229.5">
      <c r="A289" s="21" t="s">
        <v>525</v>
      </c>
      <c r="B289" s="92" t="s">
        <v>732</v>
      </c>
      <c r="C289" s="100"/>
      <c r="D289" s="105" t="s">
        <v>140</v>
      </c>
      <c r="E289" s="105" t="s">
        <v>157</v>
      </c>
      <c r="F289" s="105" t="s">
        <v>155</v>
      </c>
      <c r="G289" s="117">
        <f>G290</f>
        <v>228.5</v>
      </c>
      <c r="H289" s="117">
        <f>H290</f>
        <v>228.5</v>
      </c>
    </row>
    <row r="290" spans="1:8">
      <c r="A290" s="106" t="s">
        <v>269</v>
      </c>
      <c r="B290" s="92" t="s">
        <v>732</v>
      </c>
      <c r="C290" s="137" t="s">
        <v>270</v>
      </c>
      <c r="D290" s="105" t="s">
        <v>140</v>
      </c>
      <c r="E290" s="105" t="s">
        <v>157</v>
      </c>
      <c r="F290" s="105" t="s">
        <v>155</v>
      </c>
      <c r="G290" s="117">
        <f>'пр.8 2024-2026г'!G225</f>
        <v>228.5</v>
      </c>
      <c r="H290" s="117">
        <f>'пр.8 2024-2026г'!H225</f>
        <v>228.5</v>
      </c>
    </row>
    <row r="291" spans="1:8" ht="38.25">
      <c r="A291" s="382" t="s">
        <v>1114</v>
      </c>
      <c r="B291" s="500" t="s">
        <v>548</v>
      </c>
      <c r="C291" s="303"/>
      <c r="D291" s="303" t="s">
        <v>140</v>
      </c>
      <c r="E291" s="303"/>
      <c r="F291" s="303"/>
      <c r="G291" s="774">
        <f>G292</f>
        <v>159.7116</v>
      </c>
      <c r="H291" s="775">
        <f>H292</f>
        <v>159.7116</v>
      </c>
    </row>
    <row r="292" spans="1:8" ht="25.5">
      <c r="A292" s="106" t="s">
        <v>651</v>
      </c>
      <c r="B292" s="100" t="s">
        <v>548</v>
      </c>
      <c r="C292" s="92"/>
      <c r="D292" s="100" t="s">
        <v>140</v>
      </c>
      <c r="E292" s="100" t="s">
        <v>165</v>
      </c>
      <c r="F292" s="100" t="s">
        <v>155</v>
      </c>
      <c r="G292" s="116">
        <f>G293</f>
        <v>159.7116</v>
      </c>
      <c r="H292" s="117">
        <f>H293</f>
        <v>159.7116</v>
      </c>
    </row>
    <row r="293" spans="1:8">
      <c r="A293" s="106" t="s">
        <v>310</v>
      </c>
      <c r="B293" s="100" t="s">
        <v>548</v>
      </c>
      <c r="C293" s="92" t="s">
        <v>321</v>
      </c>
      <c r="D293" s="100" t="s">
        <v>140</v>
      </c>
      <c r="E293" s="100" t="s">
        <v>165</v>
      </c>
      <c r="F293" s="100" t="s">
        <v>155</v>
      </c>
      <c r="G293" s="116">
        <f>'пр.8 2024-2026г'!G300</f>
        <v>159.7116</v>
      </c>
      <c r="H293" s="117">
        <f>'пр.8 2024-2026г'!H300</f>
        <v>159.7116</v>
      </c>
    </row>
    <row r="294" spans="1:8" ht="38.25">
      <c r="A294" s="807" t="s">
        <v>1253</v>
      </c>
      <c r="B294" s="808" t="s">
        <v>1255</v>
      </c>
      <c r="C294" s="809"/>
      <c r="D294" s="303" t="s">
        <v>140</v>
      </c>
      <c r="E294" s="303" t="s">
        <v>156</v>
      </c>
      <c r="F294" s="810" t="s">
        <v>156</v>
      </c>
      <c r="G294" s="768">
        <f>G295</f>
        <v>0</v>
      </c>
      <c r="H294" s="501">
        <f>H295</f>
        <v>0</v>
      </c>
    </row>
    <row r="295" spans="1:8" ht="51">
      <c r="A295" s="800" t="s">
        <v>1254</v>
      </c>
      <c r="B295" s="796" t="s">
        <v>1256</v>
      </c>
      <c r="C295" s="504"/>
      <c r="D295" s="92" t="s">
        <v>140</v>
      </c>
      <c r="E295" s="92" t="s">
        <v>156</v>
      </c>
      <c r="F295" s="92" t="s">
        <v>156</v>
      </c>
      <c r="G295" s="506">
        <f>G296</f>
        <v>0</v>
      </c>
      <c r="H295" s="117">
        <f>H296</f>
        <v>0</v>
      </c>
    </row>
    <row r="296" spans="1:8" ht="38.25">
      <c r="A296" s="110" t="s">
        <v>209</v>
      </c>
      <c r="B296" s="796" t="s">
        <v>1256</v>
      </c>
      <c r="C296" s="504" t="s">
        <v>312</v>
      </c>
      <c r="D296" s="92" t="s">
        <v>140</v>
      </c>
      <c r="E296" s="92" t="s">
        <v>156</v>
      </c>
      <c r="F296" s="92" t="s">
        <v>156</v>
      </c>
      <c r="G296" s="506">
        <v>0</v>
      </c>
      <c r="H296" s="117">
        <v>0</v>
      </c>
    </row>
    <row r="297" spans="1:8">
      <c r="A297" s="776" t="s">
        <v>1122</v>
      </c>
      <c r="B297" s="777"/>
      <c r="C297" s="777"/>
      <c r="D297" s="777"/>
      <c r="E297" s="777"/>
      <c r="F297" s="777"/>
      <c r="G297" s="772">
        <f>G11+G14+G27+G36+G170+G185+G197+G200+G214+G238+G254+G272+G291+G294+G188</f>
        <v>1115034.77786</v>
      </c>
      <c r="H297" s="331">
        <f>H11+H14+H27+H36+H170+H185+H197+H200+H214+H238+H254+H272+H291+H294+H188</f>
        <v>140203.20224000004</v>
      </c>
    </row>
    <row r="298" spans="1:8">
      <c r="G298" s="201"/>
      <c r="H298" s="201"/>
    </row>
  </sheetData>
  <mergeCells count="2">
    <mergeCell ref="F7:G7"/>
    <mergeCell ref="A8:G8"/>
  </mergeCells>
  <pageMargins left="0.7" right="0.7" top="0.75" bottom="0.75" header="0.3" footer="0.3"/>
  <pageSetup paperSize="9" scale="57" orientation="portrait" r:id="rId1"/>
  <rowBreaks count="1" manualBreakCount="1">
    <brk id="26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C21"/>
  <sheetViews>
    <sheetView view="pageBreakPreview" zoomScaleSheetLayoutView="100" workbookViewId="0">
      <selection activeCell="A8" sqref="A8"/>
    </sheetView>
  </sheetViews>
  <sheetFormatPr defaultRowHeight="12.75"/>
  <cols>
    <col min="1" max="1" width="4.140625" style="4" customWidth="1"/>
    <col min="2" max="2" width="61.7109375" style="4" customWidth="1"/>
    <col min="3" max="3" width="16.140625" style="4" customWidth="1"/>
    <col min="4" max="16384" width="9.140625" style="4"/>
  </cols>
  <sheetData>
    <row r="1" spans="1:3">
      <c r="C1" s="721" t="s">
        <v>362</v>
      </c>
    </row>
    <row r="2" spans="1:3">
      <c r="C2" s="6" t="s">
        <v>141</v>
      </c>
    </row>
    <row r="3" spans="1:3">
      <c r="C3" s="6" t="s">
        <v>84</v>
      </c>
    </row>
    <row r="4" spans="1:3">
      <c r="C4" s="6" t="s">
        <v>104</v>
      </c>
    </row>
    <row r="5" spans="1:3">
      <c r="C5" s="6" t="s">
        <v>133</v>
      </c>
    </row>
    <row r="6" spans="1:3">
      <c r="A6" s="832" t="s">
        <v>1195</v>
      </c>
      <c r="B6" s="832"/>
      <c r="C6" s="832"/>
    </row>
    <row r="7" spans="1:3">
      <c r="A7" s="868" t="s">
        <v>1211</v>
      </c>
      <c r="B7" s="868"/>
      <c r="C7" s="868"/>
    </row>
    <row r="8" spans="1:3">
      <c r="C8" s="26"/>
    </row>
    <row r="9" spans="1:3" ht="36" customHeight="1">
      <c r="A9" s="872" t="s">
        <v>1171</v>
      </c>
      <c r="B9" s="872"/>
      <c r="C9" s="872"/>
    </row>
    <row r="10" spans="1:3">
      <c r="A10" s="873"/>
      <c r="B10" s="873"/>
      <c r="C10" s="873"/>
    </row>
    <row r="11" spans="1:3">
      <c r="C11" s="12" t="s">
        <v>105</v>
      </c>
    </row>
    <row r="12" spans="1:3" ht="15.75" customHeight="1">
      <c r="A12" s="14" t="s">
        <v>277</v>
      </c>
      <c r="B12" s="14" t="s">
        <v>7</v>
      </c>
      <c r="C12" s="16" t="s">
        <v>151</v>
      </c>
    </row>
    <row r="13" spans="1:3">
      <c r="A13" s="874">
        <v>1</v>
      </c>
      <c r="B13" s="870" t="s">
        <v>10</v>
      </c>
      <c r="C13" s="871"/>
    </row>
    <row r="14" spans="1:3">
      <c r="A14" s="874"/>
      <c r="B14" s="9" t="s">
        <v>8</v>
      </c>
      <c r="C14" s="28">
        <v>0</v>
      </c>
    </row>
    <row r="15" spans="1:3" ht="17.25" customHeight="1">
      <c r="A15" s="874"/>
      <c r="B15" s="9" t="s">
        <v>9</v>
      </c>
      <c r="C15" s="28">
        <v>0</v>
      </c>
    </row>
    <row r="16" spans="1:3" ht="24.75" customHeight="1">
      <c r="A16" s="869">
        <v>2</v>
      </c>
      <c r="B16" s="870" t="s">
        <v>142</v>
      </c>
      <c r="C16" s="871"/>
    </row>
    <row r="17" spans="1:3">
      <c r="A17" s="869"/>
      <c r="B17" s="9" t="s">
        <v>8</v>
      </c>
      <c r="C17" s="664">
        <f>C20</f>
        <v>0</v>
      </c>
    </row>
    <row r="18" spans="1:3">
      <c r="A18" s="869"/>
      <c r="B18" s="9" t="s">
        <v>9</v>
      </c>
      <c r="C18" s="664">
        <f>'пр.9 '!C17</f>
        <v>-22391.722999999998</v>
      </c>
    </row>
    <row r="19" spans="1:3" ht="30" customHeight="1">
      <c r="A19" s="869">
        <v>3</v>
      </c>
      <c r="B19" s="870" t="s">
        <v>127</v>
      </c>
      <c r="C19" s="871"/>
    </row>
    <row r="20" spans="1:3">
      <c r="A20" s="869"/>
      <c r="B20" s="9" t="s">
        <v>8</v>
      </c>
      <c r="C20" s="28"/>
    </row>
    <row r="21" spans="1:3">
      <c r="A21" s="869"/>
      <c r="B21" s="9" t="s">
        <v>9</v>
      </c>
      <c r="C21" s="664"/>
    </row>
  </sheetData>
  <mergeCells count="10">
    <mergeCell ref="A6:C6"/>
    <mergeCell ref="A7:C7"/>
    <mergeCell ref="A19:A21"/>
    <mergeCell ref="B19:C19"/>
    <mergeCell ref="A9:C9"/>
    <mergeCell ref="A10:C10"/>
    <mergeCell ref="A13:A15"/>
    <mergeCell ref="B13:C13"/>
    <mergeCell ref="A16:A18"/>
    <mergeCell ref="B16:C16"/>
  </mergeCells>
  <phoneticPr fontId="14" type="noConversion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D22"/>
  <sheetViews>
    <sheetView view="pageBreakPreview" zoomScale="110" zoomScaleSheetLayoutView="110" workbookViewId="0">
      <selection activeCell="B2" sqref="B2:D2"/>
    </sheetView>
  </sheetViews>
  <sheetFormatPr defaultRowHeight="12.75"/>
  <cols>
    <col min="1" max="1" width="4.140625" style="4" customWidth="1"/>
    <col min="2" max="2" width="61.7109375" style="4" customWidth="1"/>
    <col min="3" max="3" width="16.140625" style="4" customWidth="1"/>
    <col min="4" max="4" width="10.5703125" style="4" customWidth="1"/>
    <col min="5" max="16384" width="9.140625" style="4"/>
  </cols>
  <sheetData>
    <row r="1" spans="1:4">
      <c r="B1" s="832" t="s">
        <v>345</v>
      </c>
      <c r="C1" s="832"/>
      <c r="D1" s="832"/>
    </row>
    <row r="2" spans="1:4">
      <c r="B2" s="832" t="s">
        <v>141</v>
      </c>
      <c r="C2" s="832"/>
      <c r="D2" s="832"/>
    </row>
    <row r="3" spans="1:4">
      <c r="B3" s="832" t="s">
        <v>84</v>
      </c>
      <c r="C3" s="832"/>
      <c r="D3" s="832"/>
    </row>
    <row r="4" spans="1:4">
      <c r="B4" s="832" t="s">
        <v>104</v>
      </c>
      <c r="C4" s="832"/>
      <c r="D4" s="832"/>
    </row>
    <row r="5" spans="1:4">
      <c r="B5" s="832" t="s">
        <v>133</v>
      </c>
      <c r="C5" s="832"/>
      <c r="D5" s="832"/>
    </row>
    <row r="6" spans="1:4">
      <c r="B6" s="832" t="s">
        <v>1195</v>
      </c>
      <c r="C6" s="832"/>
      <c r="D6" s="832"/>
    </row>
    <row r="7" spans="1:4">
      <c r="B7" s="868" t="s">
        <v>1212</v>
      </c>
      <c r="C7" s="868"/>
      <c r="D7" s="868"/>
    </row>
    <row r="8" spans="1:4">
      <c r="C8" s="26"/>
    </row>
    <row r="9" spans="1:4" ht="36" customHeight="1">
      <c r="A9" s="872" t="s">
        <v>1225</v>
      </c>
      <c r="B9" s="872"/>
      <c r="C9" s="872"/>
    </row>
    <row r="10" spans="1:4">
      <c r="A10" s="873"/>
      <c r="B10" s="873"/>
      <c r="C10" s="873"/>
    </row>
    <row r="11" spans="1:4">
      <c r="D11" s="12" t="s">
        <v>105</v>
      </c>
    </row>
    <row r="12" spans="1:4">
      <c r="A12" s="875" t="s">
        <v>277</v>
      </c>
      <c r="B12" s="875" t="s">
        <v>7</v>
      </c>
      <c r="C12" s="379" t="s">
        <v>939</v>
      </c>
      <c r="D12" s="379" t="s">
        <v>1180</v>
      </c>
    </row>
    <row r="13" spans="1:4" ht="15.75" customHeight="1">
      <c r="A13" s="876"/>
      <c r="B13" s="876"/>
      <c r="C13" s="16" t="s">
        <v>151</v>
      </c>
      <c r="D13" s="16" t="s">
        <v>151</v>
      </c>
    </row>
    <row r="14" spans="1:4">
      <c r="A14" s="874">
        <v>1</v>
      </c>
      <c r="B14" s="870" t="s">
        <v>10</v>
      </c>
      <c r="C14" s="871"/>
      <c r="D14" s="23"/>
    </row>
    <row r="15" spans="1:4">
      <c r="A15" s="874"/>
      <c r="B15" s="9" t="s">
        <v>8</v>
      </c>
      <c r="C15" s="436">
        <v>0</v>
      </c>
      <c r="D15" s="435">
        <v>0</v>
      </c>
    </row>
    <row r="16" spans="1:4" ht="17.25" customHeight="1">
      <c r="A16" s="874"/>
      <c r="B16" s="9" t="s">
        <v>9</v>
      </c>
      <c r="C16" s="436">
        <v>0</v>
      </c>
      <c r="D16" s="435">
        <v>0</v>
      </c>
    </row>
    <row r="17" spans="1:4" ht="24.75" customHeight="1">
      <c r="A17" s="869">
        <v>2</v>
      </c>
      <c r="B17" s="870" t="s">
        <v>142</v>
      </c>
      <c r="C17" s="877"/>
      <c r="D17" s="871"/>
    </row>
    <row r="18" spans="1:4" ht="18.75" customHeight="1">
      <c r="A18" s="869"/>
      <c r="B18" s="9" t="s">
        <v>8</v>
      </c>
      <c r="C18" s="435">
        <v>0</v>
      </c>
      <c r="D18" s="434">
        <v>0</v>
      </c>
    </row>
    <row r="19" spans="1:4" ht="14.25" customHeight="1">
      <c r="A19" s="869"/>
      <c r="B19" s="9" t="s">
        <v>9</v>
      </c>
      <c r="C19" s="720">
        <f>C22</f>
        <v>0</v>
      </c>
      <c r="D19" s="434">
        <v>0</v>
      </c>
    </row>
    <row r="20" spans="1:4" ht="30" customHeight="1">
      <c r="A20" s="869">
        <v>3</v>
      </c>
      <c r="B20" s="870" t="s">
        <v>127</v>
      </c>
      <c r="C20" s="871"/>
      <c r="D20" s="16"/>
    </row>
    <row r="21" spans="1:4">
      <c r="A21" s="869"/>
      <c r="B21" s="9" t="s">
        <v>8</v>
      </c>
      <c r="C21" s="28">
        <v>0</v>
      </c>
      <c r="D21" s="28">
        <v>0</v>
      </c>
    </row>
    <row r="22" spans="1:4">
      <c r="A22" s="869"/>
      <c r="B22" s="9" t="s">
        <v>9</v>
      </c>
      <c r="C22" s="664"/>
      <c r="D22" s="28">
        <v>0</v>
      </c>
    </row>
  </sheetData>
  <mergeCells count="17">
    <mergeCell ref="B1:D1"/>
    <mergeCell ref="B2:D2"/>
    <mergeCell ref="B3:D3"/>
    <mergeCell ref="B4:D4"/>
    <mergeCell ref="B5:D5"/>
    <mergeCell ref="A20:A22"/>
    <mergeCell ref="B20:C20"/>
    <mergeCell ref="A12:A13"/>
    <mergeCell ref="B12:B13"/>
    <mergeCell ref="B6:D6"/>
    <mergeCell ref="B7:D7"/>
    <mergeCell ref="A9:C9"/>
    <mergeCell ref="A10:C10"/>
    <mergeCell ref="A14:A16"/>
    <mergeCell ref="B14:C14"/>
    <mergeCell ref="A17:A19"/>
    <mergeCell ref="B17:D17"/>
  </mergeCells>
  <pageMargins left="0.7" right="0.7" top="0.75" bottom="0.75" header="0.3" footer="0.3"/>
  <pageSetup paperSize="9" scale="96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P137"/>
  <sheetViews>
    <sheetView view="pageBreakPreview" topLeftCell="A7" zoomScale="90" zoomScaleSheetLayoutView="90" workbookViewId="0">
      <selection activeCell="C111" sqref="C111"/>
    </sheetView>
  </sheetViews>
  <sheetFormatPr defaultRowHeight="12.75"/>
  <cols>
    <col min="1" max="1" width="9.140625" style="4"/>
    <col min="2" max="2" width="59.85546875" style="4" customWidth="1"/>
    <col min="3" max="3" width="18.5703125" style="37" customWidth="1"/>
    <col min="4" max="4" width="37.140625" style="4" hidden="1" customWidth="1"/>
    <col min="5" max="5" width="18.5703125" style="4" hidden="1" customWidth="1"/>
    <col min="6" max="6" width="30.42578125" style="4" hidden="1" customWidth="1"/>
    <col min="7" max="7" width="13.5703125" style="4" customWidth="1"/>
    <col min="8" max="8" width="10.5703125" style="4" customWidth="1"/>
    <col min="9" max="9" width="11.28515625" style="4" customWidth="1"/>
    <col min="10" max="10" width="15.28515625" style="4" customWidth="1"/>
    <col min="11" max="11" width="9.140625" style="4"/>
    <col min="12" max="12" width="15.85546875" style="4" customWidth="1"/>
    <col min="13" max="13" width="10.140625" style="4" bestFit="1" customWidth="1"/>
    <col min="14" max="14" width="11.140625" style="4" bestFit="1" customWidth="1"/>
    <col min="15" max="15" width="10.5703125" style="4" bestFit="1" customWidth="1"/>
    <col min="16" max="16" width="10.140625" style="4" bestFit="1" customWidth="1"/>
    <col min="17" max="16384" width="9.140625" style="4"/>
  </cols>
  <sheetData>
    <row r="1" spans="1:7">
      <c r="C1" s="20" t="s">
        <v>416</v>
      </c>
    </row>
    <row r="2" spans="1:7">
      <c r="C2" s="20" t="s">
        <v>141</v>
      </c>
    </row>
    <row r="3" spans="1:7">
      <c r="C3" s="20" t="s">
        <v>240</v>
      </c>
    </row>
    <row r="4" spans="1:7">
      <c r="A4" s="12"/>
      <c r="C4" s="20" t="s">
        <v>104</v>
      </c>
    </row>
    <row r="5" spans="1:7">
      <c r="A5" s="17"/>
      <c r="C5" s="20" t="s">
        <v>241</v>
      </c>
    </row>
    <row r="6" spans="1:7">
      <c r="A6" s="832" t="s">
        <v>1195</v>
      </c>
      <c r="B6" s="832"/>
      <c r="C6" s="832"/>
      <c r="D6" s="832"/>
    </row>
    <row r="7" spans="1:7">
      <c r="A7" s="18"/>
      <c r="B7" s="868" t="s">
        <v>1188</v>
      </c>
      <c r="C7" s="880"/>
    </row>
    <row r="8" spans="1:7">
      <c r="A8" s="8"/>
      <c r="B8" s="8"/>
      <c r="C8" s="29"/>
    </row>
    <row r="9" spans="1:7">
      <c r="A9" s="11"/>
      <c r="B9" s="11"/>
      <c r="C9" s="30"/>
      <c r="E9" s="27"/>
      <c r="F9" s="27"/>
      <c r="G9" s="408"/>
    </row>
    <row r="10" spans="1:7" ht="17.25" customHeight="1">
      <c r="A10" s="872" t="s">
        <v>237</v>
      </c>
      <c r="B10" s="872"/>
      <c r="C10" s="872"/>
      <c r="E10" s="27"/>
      <c r="F10" s="27"/>
      <c r="G10" s="408"/>
    </row>
    <row r="11" spans="1:7">
      <c r="A11" s="11"/>
      <c r="B11" s="11"/>
      <c r="C11" s="387" t="s">
        <v>128</v>
      </c>
      <c r="E11" s="27"/>
      <c r="F11" s="27"/>
      <c r="G11" s="408"/>
    </row>
    <row r="12" spans="1:7" ht="7.5" customHeight="1">
      <c r="A12" s="11"/>
      <c r="B12" s="11"/>
      <c r="C12" s="30"/>
      <c r="E12" s="27"/>
      <c r="F12" s="27"/>
      <c r="G12" s="408"/>
    </row>
    <row r="13" spans="1:7" ht="33" customHeight="1">
      <c r="A13" s="881" t="s">
        <v>1215</v>
      </c>
      <c r="B13" s="881"/>
      <c r="C13" s="881"/>
      <c r="E13" s="27"/>
      <c r="F13" s="27"/>
      <c r="G13" s="408"/>
    </row>
    <row r="14" spans="1:7">
      <c r="A14" s="19"/>
      <c r="C14" s="20" t="s">
        <v>105</v>
      </c>
      <c r="E14" s="872"/>
      <c r="F14" s="872"/>
      <c r="G14" s="488"/>
    </row>
    <row r="15" spans="1:7" ht="21" customHeight="1">
      <c r="A15" s="487" t="s">
        <v>277</v>
      </c>
      <c r="B15" s="487" t="s">
        <v>146</v>
      </c>
      <c r="C15" s="22" t="s">
        <v>49</v>
      </c>
      <c r="E15" s="32"/>
      <c r="F15" s="33"/>
      <c r="G15" s="33"/>
    </row>
    <row r="16" spans="1:7" ht="21" customHeight="1">
      <c r="A16" s="557">
        <v>1</v>
      </c>
      <c r="B16" s="35" t="s">
        <v>212</v>
      </c>
      <c r="C16" s="189">
        <v>1.8</v>
      </c>
      <c r="E16" s="32"/>
      <c r="F16" s="33"/>
      <c r="G16" s="33"/>
    </row>
    <row r="17" spans="1:7" ht="21" customHeight="1">
      <c r="A17" s="778">
        <v>2</v>
      </c>
      <c r="B17" s="779" t="s">
        <v>213</v>
      </c>
      <c r="C17" s="555">
        <v>3.1</v>
      </c>
      <c r="E17" s="32"/>
      <c r="F17" s="33"/>
      <c r="G17" s="33" t="s">
        <v>1032</v>
      </c>
    </row>
    <row r="18" spans="1:7" ht="21" customHeight="1">
      <c r="A18" s="778">
        <v>3</v>
      </c>
      <c r="B18" s="779" t="s">
        <v>214</v>
      </c>
      <c r="C18" s="555">
        <v>1.9</v>
      </c>
      <c r="E18" s="32"/>
      <c r="F18" s="33"/>
      <c r="G18" s="33" t="s">
        <v>1032</v>
      </c>
    </row>
    <row r="19" spans="1:7" ht="21" customHeight="1">
      <c r="A19" s="778">
        <v>4</v>
      </c>
      <c r="B19" s="779" t="s">
        <v>228</v>
      </c>
      <c r="C19" s="555">
        <v>3.3</v>
      </c>
      <c r="E19" s="32"/>
      <c r="F19" s="33"/>
      <c r="G19" s="33"/>
    </row>
    <row r="20" spans="1:7" ht="21" customHeight="1">
      <c r="A20" s="778">
        <v>5</v>
      </c>
      <c r="B20" s="779" t="s">
        <v>215</v>
      </c>
      <c r="C20" s="555">
        <v>1.2</v>
      </c>
      <c r="E20" s="32"/>
      <c r="F20" s="33"/>
      <c r="G20" s="33" t="s">
        <v>1032</v>
      </c>
    </row>
    <row r="21" spans="1:7" ht="21" customHeight="1">
      <c r="A21" s="778">
        <v>6</v>
      </c>
      <c r="B21" s="779" t="s">
        <v>217</v>
      </c>
      <c r="C21" s="555">
        <v>1.3</v>
      </c>
      <c r="E21" s="32"/>
      <c r="F21" s="33"/>
      <c r="G21" s="33"/>
    </row>
    <row r="22" spans="1:7" ht="21" customHeight="1">
      <c r="A22" s="778">
        <v>7</v>
      </c>
      <c r="B22" s="779" t="s">
        <v>218</v>
      </c>
      <c r="C22" s="555">
        <v>0.9</v>
      </c>
      <c r="E22" s="32"/>
      <c r="F22" s="33"/>
      <c r="G22" s="33"/>
    </row>
    <row r="23" spans="1:7" ht="21" customHeight="1">
      <c r="A23" s="778">
        <v>8</v>
      </c>
      <c r="B23" s="779" t="s">
        <v>219</v>
      </c>
      <c r="C23" s="555">
        <v>0.9</v>
      </c>
      <c r="E23" s="32"/>
      <c r="F23" s="33"/>
      <c r="G23" s="33"/>
    </row>
    <row r="24" spans="1:7" ht="21" customHeight="1">
      <c r="A24" s="778">
        <v>9</v>
      </c>
      <c r="B24" s="779" t="s">
        <v>220</v>
      </c>
      <c r="C24" s="555">
        <v>1.3</v>
      </c>
      <c r="E24" s="32"/>
      <c r="F24" s="33"/>
      <c r="G24" s="33" t="s">
        <v>1032</v>
      </c>
    </row>
    <row r="25" spans="1:7" ht="21" customHeight="1">
      <c r="A25" s="778">
        <v>10</v>
      </c>
      <c r="B25" s="779" t="s">
        <v>3</v>
      </c>
      <c r="C25" s="555">
        <v>3.3</v>
      </c>
      <c r="E25" s="32"/>
      <c r="F25" s="33"/>
      <c r="G25" s="33"/>
    </row>
    <row r="26" spans="1:7" ht="21" customHeight="1">
      <c r="A26" s="778">
        <v>11</v>
      </c>
      <c r="B26" s="779" t="s">
        <v>331</v>
      </c>
      <c r="C26" s="555">
        <v>3</v>
      </c>
      <c r="E26" s="32"/>
      <c r="F26" s="33"/>
      <c r="G26" s="33"/>
    </row>
    <row r="27" spans="1:7">
      <c r="A27" s="778">
        <v>12</v>
      </c>
      <c r="B27" s="779" t="s">
        <v>222</v>
      </c>
      <c r="C27" s="555">
        <v>5.3</v>
      </c>
      <c r="G27" s="4" t="s">
        <v>1032</v>
      </c>
    </row>
    <row r="28" spans="1:7">
      <c r="A28" s="778">
        <v>13</v>
      </c>
      <c r="B28" s="779" t="s">
        <v>223</v>
      </c>
      <c r="C28" s="555">
        <v>5.3</v>
      </c>
      <c r="G28" s="4" t="s">
        <v>1032</v>
      </c>
    </row>
    <row r="29" spans="1:7">
      <c r="A29" s="778">
        <v>14</v>
      </c>
      <c r="B29" s="779" t="s">
        <v>224</v>
      </c>
      <c r="C29" s="555">
        <v>1.6</v>
      </c>
    </row>
    <row r="30" spans="1:7">
      <c r="A30" s="778">
        <v>15</v>
      </c>
      <c r="B30" s="779" t="s">
        <v>225</v>
      </c>
      <c r="C30" s="555">
        <v>1.9</v>
      </c>
      <c r="G30" s="4" t="s">
        <v>1032</v>
      </c>
    </row>
    <row r="31" spans="1:7">
      <c r="A31" s="778">
        <v>16</v>
      </c>
      <c r="B31" s="779" t="s">
        <v>328</v>
      </c>
      <c r="C31" s="555">
        <v>7.3</v>
      </c>
    </row>
    <row r="32" spans="1:7">
      <c r="A32" s="557">
        <v>17</v>
      </c>
      <c r="B32" s="35" t="s">
        <v>2</v>
      </c>
      <c r="C32" s="189">
        <v>56.8</v>
      </c>
    </row>
    <row r="33" spans="1:8">
      <c r="A33" s="453"/>
      <c r="B33" s="487" t="s">
        <v>143</v>
      </c>
      <c r="C33" s="331">
        <f>SUM(C16:C32)</f>
        <v>100.19999999999999</v>
      </c>
    </row>
    <row r="34" spans="1:8">
      <c r="A34" s="10"/>
      <c r="B34" s="11"/>
      <c r="C34" s="38"/>
    </row>
    <row r="35" spans="1:8" ht="53.25" customHeight="1">
      <c r="A35" s="862" t="s">
        <v>1217</v>
      </c>
      <c r="B35" s="878"/>
      <c r="C35" s="878"/>
    </row>
    <row r="36" spans="1:8" ht="12" customHeight="1">
      <c r="C36" s="387" t="s">
        <v>238</v>
      </c>
      <c r="D36" s="126"/>
      <c r="E36" s="183"/>
      <c r="F36" s="183"/>
      <c r="G36" s="183"/>
    </row>
    <row r="37" spans="1:8" ht="27" customHeight="1">
      <c r="A37" s="881" t="s">
        <v>1218</v>
      </c>
      <c r="B37" s="881"/>
      <c r="C37" s="881"/>
      <c r="D37" s="126"/>
      <c r="E37" s="183"/>
      <c r="F37" s="183"/>
      <c r="G37" s="183"/>
    </row>
    <row r="38" spans="1:8">
      <c r="A38" s="19"/>
      <c r="C38" s="20" t="s">
        <v>105</v>
      </c>
      <c r="D38" s="126"/>
      <c r="E38" s="183"/>
      <c r="F38" s="183"/>
      <c r="G38" s="183"/>
    </row>
    <row r="39" spans="1:8" ht="49.5" customHeight="1">
      <c r="A39" s="406" t="s">
        <v>277</v>
      </c>
      <c r="B39" s="406" t="s">
        <v>146</v>
      </c>
      <c r="C39" s="22" t="s">
        <v>49</v>
      </c>
      <c r="D39" s="22" t="s">
        <v>422</v>
      </c>
      <c r="E39" s="22" t="s">
        <v>422</v>
      </c>
      <c r="F39" s="429" t="s">
        <v>422</v>
      </c>
      <c r="G39" s="467"/>
      <c r="H39" s="467"/>
    </row>
    <row r="40" spans="1:8">
      <c r="A40" s="551">
        <v>1</v>
      </c>
      <c r="B40" s="263" t="s">
        <v>212</v>
      </c>
      <c r="C40" s="556">
        <v>2242.9899999999998</v>
      </c>
      <c r="D40" s="191"/>
      <c r="E40" s="191"/>
      <c r="F40" s="457"/>
      <c r="G40" s="475"/>
      <c r="H40" s="475"/>
    </row>
    <row r="41" spans="1:8">
      <c r="A41" s="551">
        <v>2</v>
      </c>
      <c r="B41" s="263" t="s">
        <v>213</v>
      </c>
      <c r="C41" s="556">
        <v>3672.5</v>
      </c>
      <c r="D41" s="191"/>
      <c r="E41" s="191"/>
      <c r="F41" s="457"/>
      <c r="G41" s="475"/>
      <c r="H41" s="475"/>
    </row>
    <row r="42" spans="1:8">
      <c r="A42" s="551">
        <v>3</v>
      </c>
      <c r="B42" s="263" t="s">
        <v>214</v>
      </c>
      <c r="C42" s="556">
        <v>2482.3200000000002</v>
      </c>
      <c r="D42" s="191"/>
      <c r="E42" s="191"/>
      <c r="F42" s="457"/>
      <c r="G42" s="475"/>
      <c r="H42" s="475"/>
    </row>
    <row r="43" spans="1:8">
      <c r="A43" s="551">
        <v>4</v>
      </c>
      <c r="B43" s="263" t="s">
        <v>215</v>
      </c>
      <c r="C43" s="556">
        <v>2716.25</v>
      </c>
      <c r="D43" s="191"/>
      <c r="E43" s="191"/>
      <c r="F43" s="457"/>
      <c r="G43" s="475"/>
      <c r="H43" s="475"/>
    </row>
    <row r="44" spans="1:8">
      <c r="A44" s="551">
        <v>5</v>
      </c>
      <c r="B44" s="263" t="s">
        <v>216</v>
      </c>
      <c r="C44" s="556">
        <v>3450.5</v>
      </c>
      <c r="D44" s="191"/>
      <c r="E44" s="191"/>
      <c r="F44" s="457"/>
      <c r="G44" s="475"/>
      <c r="H44" s="475"/>
    </row>
    <row r="45" spans="1:8">
      <c r="A45" s="551">
        <v>6</v>
      </c>
      <c r="B45" s="263" t="s">
        <v>217</v>
      </c>
      <c r="C45" s="556">
        <v>2632.71</v>
      </c>
      <c r="D45" s="191"/>
      <c r="E45" s="191"/>
      <c r="F45" s="457"/>
      <c r="G45" s="475"/>
      <c r="H45" s="475"/>
    </row>
    <row r="46" spans="1:8">
      <c r="A46" s="551">
        <v>7</v>
      </c>
      <c r="B46" s="263" t="s">
        <v>218</v>
      </c>
      <c r="C46" s="556">
        <v>2156.6999999999998</v>
      </c>
      <c r="D46" s="191"/>
      <c r="E46" s="191"/>
      <c r="F46" s="457"/>
      <c r="G46" s="475"/>
      <c r="H46" s="475"/>
    </row>
    <row r="47" spans="1:8">
      <c r="A47" s="551">
        <v>8</v>
      </c>
      <c r="B47" s="263" t="s">
        <v>219</v>
      </c>
      <c r="C47" s="556">
        <v>2191.04</v>
      </c>
      <c r="D47" s="191"/>
      <c r="E47" s="191"/>
      <c r="F47" s="457"/>
      <c r="G47" s="475"/>
      <c r="H47" s="475"/>
    </row>
    <row r="48" spans="1:8">
      <c r="A48" s="551">
        <v>9</v>
      </c>
      <c r="B48" s="263" t="s">
        <v>220</v>
      </c>
      <c r="C48" s="556">
        <v>1745.72</v>
      </c>
      <c r="D48" s="191"/>
      <c r="E48" s="191"/>
      <c r="F48" s="457"/>
      <c r="G48" s="475"/>
      <c r="H48" s="475"/>
    </row>
    <row r="49" spans="1:9">
      <c r="A49" s="551">
        <v>10</v>
      </c>
      <c r="B49" s="263" t="s">
        <v>221</v>
      </c>
      <c r="C49" s="556">
        <v>3396.6</v>
      </c>
      <c r="D49" s="191"/>
      <c r="E49" s="191"/>
      <c r="F49" s="457"/>
      <c r="G49" s="475"/>
      <c r="H49" s="475"/>
    </row>
    <row r="50" spans="1:9">
      <c r="A50" s="551">
        <v>11</v>
      </c>
      <c r="B50" s="263" t="s">
        <v>226</v>
      </c>
      <c r="C50" s="556">
        <v>3684.82</v>
      </c>
      <c r="D50" s="191"/>
      <c r="E50" s="191"/>
      <c r="F50" s="457"/>
      <c r="G50" s="475"/>
      <c r="H50" s="475"/>
    </row>
    <row r="51" spans="1:9">
      <c r="A51" s="551">
        <v>12</v>
      </c>
      <c r="B51" s="263" t="s">
        <v>222</v>
      </c>
      <c r="C51" s="556">
        <v>3295.13</v>
      </c>
      <c r="D51" s="191"/>
      <c r="E51" s="191"/>
      <c r="F51" s="457"/>
      <c r="G51" s="475"/>
      <c r="H51" s="475"/>
    </row>
    <row r="52" spans="1:9">
      <c r="A52" s="551">
        <v>13</v>
      </c>
      <c r="B52" s="263" t="s">
        <v>223</v>
      </c>
      <c r="C52" s="556">
        <v>4513.13</v>
      </c>
      <c r="D52" s="191"/>
      <c r="E52" s="191"/>
      <c r="F52" s="457"/>
      <c r="G52" s="475"/>
      <c r="H52" s="475"/>
    </row>
    <row r="53" spans="1:9">
      <c r="A53" s="551">
        <v>14</v>
      </c>
      <c r="B53" s="263" t="s">
        <v>224</v>
      </c>
      <c r="C53" s="556">
        <v>2194.36</v>
      </c>
      <c r="D53" s="191"/>
      <c r="E53" s="191"/>
      <c r="F53" s="457"/>
      <c r="G53" s="475"/>
      <c r="H53" s="475"/>
    </row>
    <row r="54" spans="1:9">
      <c r="A54" s="551">
        <v>15</v>
      </c>
      <c r="B54" s="263" t="s">
        <v>225</v>
      </c>
      <c r="C54" s="556">
        <v>2912.03</v>
      </c>
      <c r="D54" s="191"/>
      <c r="E54" s="191"/>
      <c r="F54" s="457"/>
      <c r="G54" s="475"/>
      <c r="H54" s="475"/>
    </row>
    <row r="55" spans="1:9">
      <c r="A55" s="405"/>
      <c r="B55" s="177" t="s">
        <v>143</v>
      </c>
      <c r="C55" s="330">
        <f>SUM(C40:C54)</f>
        <v>43286.799999999996</v>
      </c>
      <c r="D55" s="191"/>
      <c r="E55" s="191"/>
      <c r="F55" s="457"/>
      <c r="G55" s="344"/>
      <c r="H55" s="344"/>
      <c r="I55" s="201"/>
    </row>
    <row r="56" spans="1:9">
      <c r="C56" s="31"/>
      <c r="E56" s="10"/>
      <c r="F56" s="10"/>
      <c r="G56" s="10"/>
    </row>
    <row r="58" spans="1:9">
      <c r="C58" s="575" t="s">
        <v>866</v>
      </c>
    </row>
    <row r="59" spans="1:9" ht="34.5" customHeight="1">
      <c r="A59" s="866" t="s">
        <v>987</v>
      </c>
      <c r="B59" s="866"/>
      <c r="C59" s="866"/>
    </row>
    <row r="60" spans="1:9">
      <c r="C60" s="37" t="s">
        <v>105</v>
      </c>
    </row>
    <row r="61" spans="1:9">
      <c r="A61" s="573" t="s">
        <v>277</v>
      </c>
      <c r="B61" s="573" t="s">
        <v>146</v>
      </c>
      <c r="C61" s="573" t="s">
        <v>49</v>
      </c>
    </row>
    <row r="62" spans="1:9" ht="15">
      <c r="A62" s="553">
        <v>1</v>
      </c>
      <c r="B62" s="553" t="s">
        <v>212</v>
      </c>
      <c r="C62" s="559">
        <v>221.762</v>
      </c>
    </row>
    <row r="63" spans="1:9">
      <c r="A63" s="453">
        <v>2</v>
      </c>
      <c r="B63" s="453" t="s">
        <v>213</v>
      </c>
      <c r="C63" s="559">
        <v>430.85199999999998</v>
      </c>
    </row>
    <row r="64" spans="1:9">
      <c r="A64" s="453">
        <v>3</v>
      </c>
      <c r="B64" s="453" t="s">
        <v>214</v>
      </c>
      <c r="C64" s="559">
        <v>291.459</v>
      </c>
    </row>
    <row r="65" spans="1:3">
      <c r="A65" s="453">
        <v>4</v>
      </c>
      <c r="B65" s="453" t="s">
        <v>215</v>
      </c>
      <c r="C65" s="559">
        <v>236.018</v>
      </c>
    </row>
    <row r="66" spans="1:3">
      <c r="A66" s="453">
        <v>5</v>
      </c>
      <c r="B66" s="453" t="s">
        <v>216</v>
      </c>
      <c r="C66" s="559">
        <v>435.60399999999998</v>
      </c>
    </row>
    <row r="67" spans="1:3">
      <c r="A67" s="453">
        <v>6</v>
      </c>
      <c r="B67" s="453" t="s">
        <v>217</v>
      </c>
      <c r="C67" s="559">
        <v>205.28899999999999</v>
      </c>
    </row>
    <row r="68" spans="1:3">
      <c r="A68" s="453">
        <v>7</v>
      </c>
      <c r="B68" s="453" t="s">
        <v>218</v>
      </c>
      <c r="C68" s="559">
        <v>329.47500000000002</v>
      </c>
    </row>
    <row r="69" spans="1:3">
      <c r="A69" s="453">
        <v>8</v>
      </c>
      <c r="B69" s="453" t="s">
        <v>219</v>
      </c>
      <c r="C69" s="559">
        <v>253.44300000000001</v>
      </c>
    </row>
    <row r="70" spans="1:3">
      <c r="A70" s="453">
        <v>9</v>
      </c>
      <c r="B70" s="453" t="s">
        <v>220</v>
      </c>
      <c r="C70" s="559">
        <v>194.83</v>
      </c>
    </row>
    <row r="71" spans="1:3">
      <c r="A71" s="453">
        <v>10</v>
      </c>
      <c r="B71" s="453" t="s">
        <v>221</v>
      </c>
      <c r="C71" s="559">
        <v>250</v>
      </c>
    </row>
    <row r="72" spans="1:3">
      <c r="A72" s="453">
        <v>10</v>
      </c>
      <c r="B72" s="453" t="s">
        <v>226</v>
      </c>
      <c r="C72" s="559">
        <v>396.00400000000002</v>
      </c>
    </row>
    <row r="73" spans="1:3">
      <c r="A73" s="453">
        <v>11</v>
      </c>
      <c r="B73" s="453" t="s">
        <v>222</v>
      </c>
      <c r="C73" s="559">
        <v>133.05799999999999</v>
      </c>
    </row>
    <row r="74" spans="1:3">
      <c r="A74" s="453">
        <v>12</v>
      </c>
      <c r="B74" s="453" t="s">
        <v>223</v>
      </c>
      <c r="C74" s="559">
        <v>300.22000000000003</v>
      </c>
    </row>
    <row r="75" spans="1:3">
      <c r="A75" s="453">
        <v>13</v>
      </c>
      <c r="B75" s="263" t="s">
        <v>224</v>
      </c>
      <c r="C75" s="559">
        <v>253.44300000000001</v>
      </c>
    </row>
    <row r="76" spans="1:3">
      <c r="A76" s="453">
        <v>14</v>
      </c>
      <c r="B76" s="453" t="s">
        <v>225</v>
      </c>
      <c r="C76" s="559">
        <v>305.39499999999998</v>
      </c>
    </row>
    <row r="77" spans="1:3">
      <c r="A77" s="554"/>
      <c r="B77" s="554" t="s">
        <v>143</v>
      </c>
      <c r="C77" s="558">
        <f>SUM(C62:C76)</f>
        <v>4236.8520000000008</v>
      </c>
    </row>
    <row r="79" spans="1:3">
      <c r="C79" s="575" t="s">
        <v>867</v>
      </c>
    </row>
    <row r="80" spans="1:3">
      <c r="A80" s="879" t="s">
        <v>748</v>
      </c>
      <c r="B80" s="879"/>
      <c r="C80" s="879"/>
    </row>
    <row r="81" spans="1:14" s="10" customFormat="1">
      <c r="A81" s="879"/>
      <c r="B81" s="879"/>
      <c r="C81" s="879"/>
    </row>
    <row r="82" spans="1:14" s="10" customFormat="1">
      <c r="A82" s="576"/>
      <c r="B82" s="576"/>
      <c r="C82" s="581" t="s">
        <v>105</v>
      </c>
    </row>
    <row r="83" spans="1:14" ht="14.25">
      <c r="A83" s="578" t="s">
        <v>277</v>
      </c>
      <c r="B83" s="578" t="s">
        <v>749</v>
      </c>
      <c r="C83" s="582" t="s">
        <v>753</v>
      </c>
    </row>
    <row r="84" spans="1:14" ht="15">
      <c r="A84" s="657">
        <v>1</v>
      </c>
      <c r="B84" s="658" t="s">
        <v>216</v>
      </c>
      <c r="C84" s="659">
        <f>G84+H84</f>
        <v>299.70029999999997</v>
      </c>
      <c r="G84" s="4">
        <v>293.7063</v>
      </c>
      <c r="H84" s="4">
        <v>5.9939999999999998</v>
      </c>
    </row>
    <row r="85" spans="1:14" ht="15">
      <c r="A85" s="553">
        <v>2</v>
      </c>
      <c r="B85" s="109" t="s">
        <v>226</v>
      </c>
      <c r="C85" s="659">
        <f t="shared" ref="C85:C86" si="0">G85+H85</f>
        <v>299.70029999999997</v>
      </c>
      <c r="G85" s="4">
        <v>293.7063</v>
      </c>
      <c r="H85" s="4">
        <v>5.9939999999999998</v>
      </c>
    </row>
    <row r="86" spans="1:14" ht="15">
      <c r="A86" s="553">
        <v>3</v>
      </c>
      <c r="B86" s="109" t="s">
        <v>222</v>
      </c>
      <c r="C86" s="659">
        <f t="shared" si="0"/>
        <v>299.70029999999997</v>
      </c>
      <c r="G86" s="4">
        <v>293.7063</v>
      </c>
      <c r="H86" s="4">
        <v>5.9939999999999998</v>
      </c>
    </row>
    <row r="87" spans="1:14" ht="15">
      <c r="A87" s="553">
        <v>4</v>
      </c>
      <c r="B87" s="109" t="s">
        <v>751</v>
      </c>
      <c r="C87" s="659">
        <v>770.64102000000003</v>
      </c>
      <c r="G87" s="4">
        <v>665.30363999999997</v>
      </c>
      <c r="H87" s="4">
        <v>13.578469999999999</v>
      </c>
      <c r="N87" s="674"/>
    </row>
    <row r="88" spans="1:14" ht="15">
      <c r="A88" s="553">
        <v>5</v>
      </c>
      <c r="B88" s="109" t="s">
        <v>328</v>
      </c>
      <c r="C88" s="659">
        <f>1211.00734+0.04148</f>
        <v>1211.0488200000002</v>
      </c>
      <c r="G88" s="4">
        <v>1045.4771499999999</v>
      </c>
      <c r="H88" s="4">
        <v>21.337599999999998</v>
      </c>
      <c r="N88" s="674"/>
    </row>
    <row r="89" spans="1:14" ht="15">
      <c r="A89" s="553">
        <v>6</v>
      </c>
      <c r="B89" s="109" t="s">
        <v>2</v>
      </c>
      <c r="C89" s="659">
        <v>9027.5092600000007</v>
      </c>
      <c r="G89" s="4">
        <v>7888.5762000000004</v>
      </c>
      <c r="H89" s="4">
        <v>160.98919000000001</v>
      </c>
    </row>
    <row r="90" spans="1:14">
      <c r="A90" s="554"/>
      <c r="B90" s="554" t="s">
        <v>470</v>
      </c>
      <c r="C90" s="331">
        <f>SUM(C84:C89)</f>
        <v>11908.300000000001</v>
      </c>
      <c r="G90" s="4">
        <f>SUM(G84:G89)</f>
        <v>10480.475890000002</v>
      </c>
      <c r="H90" s="4">
        <f>SUM(H84:H89)</f>
        <v>213.88726</v>
      </c>
      <c r="N90" s="577"/>
    </row>
    <row r="91" spans="1:14">
      <c r="A91" s="879"/>
      <c r="B91" s="879"/>
      <c r="C91" s="879"/>
      <c r="N91" s="577"/>
    </row>
    <row r="92" spans="1:14" ht="12.75" customHeight="1">
      <c r="C92" s="575" t="s">
        <v>868</v>
      </c>
      <c r="L92" s="675"/>
      <c r="M92" s="675"/>
    </row>
    <row r="93" spans="1:14">
      <c r="A93" s="879" t="s">
        <v>752</v>
      </c>
      <c r="B93" s="879"/>
      <c r="C93" s="879"/>
      <c r="L93" s="675"/>
      <c r="M93" s="675"/>
    </row>
    <row r="94" spans="1:14" ht="36.75" customHeight="1">
      <c r="A94" s="879"/>
      <c r="B94" s="879"/>
      <c r="C94" s="879"/>
      <c r="L94" s="675"/>
      <c r="M94" s="675"/>
    </row>
    <row r="95" spans="1:14">
      <c r="A95" s="580"/>
      <c r="B95" s="580"/>
      <c r="C95" s="581" t="s">
        <v>105</v>
      </c>
      <c r="L95" s="675"/>
      <c r="M95" s="675"/>
    </row>
    <row r="96" spans="1:14" ht="14.25">
      <c r="A96" s="578" t="s">
        <v>277</v>
      </c>
      <c r="B96" s="578" t="s">
        <v>749</v>
      </c>
      <c r="C96" s="579" t="s">
        <v>750</v>
      </c>
      <c r="L96" s="675"/>
      <c r="M96" s="675"/>
    </row>
    <row r="97" spans="1:16" ht="15">
      <c r="A97" s="553">
        <v>1</v>
      </c>
      <c r="B97" s="109" t="s">
        <v>216</v>
      </c>
      <c r="C97" s="660">
        <v>0.29970000000000002</v>
      </c>
      <c r="L97" s="675"/>
      <c r="M97" s="675"/>
      <c r="O97" s="201"/>
      <c r="P97" s="675"/>
    </row>
    <row r="98" spans="1:16" ht="15">
      <c r="A98" s="553">
        <v>2</v>
      </c>
      <c r="B98" s="109" t="s">
        <v>226</v>
      </c>
      <c r="C98" s="660">
        <v>0.29970000000000002</v>
      </c>
      <c r="L98" s="675"/>
      <c r="M98" s="675"/>
      <c r="O98" s="201"/>
      <c r="P98" s="675"/>
    </row>
    <row r="99" spans="1:16" ht="15">
      <c r="A99" s="553">
        <v>3</v>
      </c>
      <c r="B99" s="109" t="s">
        <v>222</v>
      </c>
      <c r="C99" s="660">
        <v>0.29970000000000002</v>
      </c>
      <c r="L99" s="675"/>
      <c r="M99" s="675"/>
    </row>
    <row r="100" spans="1:16" ht="15">
      <c r="A100" s="553">
        <v>4</v>
      </c>
      <c r="B100" s="109" t="s">
        <v>751</v>
      </c>
      <c r="C100" s="660">
        <v>0.77063999999999999</v>
      </c>
      <c r="L100" s="675"/>
      <c r="M100" s="675"/>
    </row>
    <row r="101" spans="1:16" ht="15">
      <c r="A101" s="553">
        <v>5</v>
      </c>
      <c r="B101" s="109" t="s">
        <v>328</v>
      </c>
      <c r="C101" s="660">
        <f>1.21101+0.00004</f>
        <v>1.21105</v>
      </c>
    </row>
    <row r="102" spans="1:16" ht="15">
      <c r="A102" s="553">
        <v>6</v>
      </c>
      <c r="B102" s="109" t="s">
        <v>2</v>
      </c>
      <c r="C102" s="660">
        <v>9.0275099999999995</v>
      </c>
    </row>
    <row r="103" spans="1:16">
      <c r="A103" s="554"/>
      <c r="B103" s="554" t="s">
        <v>470</v>
      </c>
      <c r="C103" s="331">
        <f>SUM(C97:C102)</f>
        <v>11.908300000000001</v>
      </c>
    </row>
    <row r="105" spans="1:16">
      <c r="C105" s="575" t="s">
        <v>989</v>
      </c>
    </row>
    <row r="106" spans="1:16" ht="24.75" customHeight="1">
      <c r="A106" s="866" t="s">
        <v>1031</v>
      </c>
      <c r="B106" s="866"/>
      <c r="C106" s="866"/>
    </row>
    <row r="107" spans="1:16">
      <c r="C107" s="37" t="s">
        <v>105</v>
      </c>
    </row>
    <row r="108" spans="1:16">
      <c r="A108" s="584" t="s">
        <v>277</v>
      </c>
      <c r="B108" s="584" t="s">
        <v>146</v>
      </c>
      <c r="C108" s="584" t="s">
        <v>49</v>
      </c>
    </row>
    <row r="109" spans="1:16">
      <c r="A109" s="780">
        <v>1</v>
      </c>
      <c r="B109" s="453" t="s">
        <v>213</v>
      </c>
      <c r="C109" s="762">
        <v>54.98</v>
      </c>
    </row>
    <row r="110" spans="1:16">
      <c r="A110" s="780">
        <v>2</v>
      </c>
      <c r="B110" s="453" t="s">
        <v>751</v>
      </c>
      <c r="C110" s="762">
        <v>75</v>
      </c>
    </row>
    <row r="111" spans="1:16">
      <c r="A111" s="453"/>
      <c r="B111" s="453" t="s">
        <v>448</v>
      </c>
      <c r="C111" s="669">
        <f>SUM(C109:C110)</f>
        <v>129.97999999999999</v>
      </c>
    </row>
    <row r="112" spans="1:16">
      <c r="A112" s="10"/>
      <c r="B112" s="10"/>
      <c r="C112" s="652"/>
    </row>
    <row r="114" spans="1:3">
      <c r="C114" s="575" t="s">
        <v>741</v>
      </c>
    </row>
    <row r="115" spans="1:3" ht="34.5" customHeight="1">
      <c r="A115" s="866" t="s">
        <v>1219</v>
      </c>
      <c r="B115" s="866"/>
      <c r="C115" s="866"/>
    </row>
    <row r="116" spans="1:3">
      <c r="A116" s="19"/>
      <c r="C116" s="20" t="s">
        <v>105</v>
      </c>
    </row>
    <row r="117" spans="1:3">
      <c r="A117" s="673" t="s">
        <v>277</v>
      </c>
      <c r="B117" s="673" t="s">
        <v>146</v>
      </c>
      <c r="C117" s="22" t="s">
        <v>49</v>
      </c>
    </row>
    <row r="118" spans="1:3">
      <c r="A118" s="557">
        <v>1</v>
      </c>
      <c r="B118" s="35" t="s">
        <v>212</v>
      </c>
      <c r="C118" s="189">
        <v>9.3948</v>
      </c>
    </row>
    <row r="119" spans="1:3">
      <c r="A119" s="557">
        <v>2</v>
      </c>
      <c r="B119" s="35" t="s">
        <v>213</v>
      </c>
      <c r="C119" s="189">
        <v>9.3948</v>
      </c>
    </row>
    <row r="120" spans="1:3">
      <c r="A120" s="557">
        <v>3</v>
      </c>
      <c r="B120" s="35" t="s">
        <v>214</v>
      </c>
      <c r="C120" s="189">
        <v>9.3948</v>
      </c>
    </row>
    <row r="121" spans="1:3">
      <c r="A121" s="557">
        <v>4</v>
      </c>
      <c r="B121" s="35" t="s">
        <v>228</v>
      </c>
      <c r="C121" s="189">
        <v>9.3948</v>
      </c>
    </row>
    <row r="122" spans="1:3">
      <c r="A122" s="557">
        <v>5</v>
      </c>
      <c r="B122" s="35" t="s">
        <v>215</v>
      </c>
      <c r="C122" s="189">
        <v>9.3948</v>
      </c>
    </row>
    <row r="123" spans="1:3">
      <c r="A123" s="557">
        <v>6</v>
      </c>
      <c r="B123" s="35" t="s">
        <v>217</v>
      </c>
      <c r="C123" s="189">
        <v>9.3948</v>
      </c>
    </row>
    <row r="124" spans="1:3">
      <c r="A124" s="557">
        <v>7</v>
      </c>
      <c r="B124" s="35" t="s">
        <v>218</v>
      </c>
      <c r="C124" s="189">
        <v>9.3948</v>
      </c>
    </row>
    <row r="125" spans="1:3">
      <c r="A125" s="557">
        <v>8</v>
      </c>
      <c r="B125" s="35" t="s">
        <v>219</v>
      </c>
      <c r="C125" s="189">
        <v>9.3948</v>
      </c>
    </row>
    <row r="126" spans="1:3">
      <c r="A126" s="557">
        <v>9</v>
      </c>
      <c r="B126" s="35" t="s">
        <v>220</v>
      </c>
      <c r="C126" s="189">
        <v>9.3948</v>
      </c>
    </row>
    <row r="127" spans="1:3">
      <c r="A127" s="557">
        <v>10</v>
      </c>
      <c r="B127" s="35" t="s">
        <v>3</v>
      </c>
      <c r="C127" s="189">
        <v>9.3948</v>
      </c>
    </row>
    <row r="128" spans="1:3">
      <c r="A128" s="557">
        <v>11</v>
      </c>
      <c r="B128" s="35" t="s">
        <v>331</v>
      </c>
      <c r="C128" s="189">
        <v>9.3948</v>
      </c>
    </row>
    <row r="129" spans="1:7">
      <c r="A129" s="557">
        <v>12</v>
      </c>
      <c r="B129" s="35" t="s">
        <v>222</v>
      </c>
      <c r="C129" s="189">
        <v>9.3948</v>
      </c>
    </row>
    <row r="130" spans="1:7">
      <c r="A130" s="557">
        <v>13</v>
      </c>
      <c r="B130" s="35" t="s">
        <v>223</v>
      </c>
      <c r="C130" s="189">
        <v>9.3948</v>
      </c>
    </row>
    <row r="131" spans="1:7">
      <c r="A131" s="557">
        <v>14</v>
      </c>
      <c r="B131" s="35" t="s">
        <v>224</v>
      </c>
      <c r="C131" s="189">
        <v>9.3948</v>
      </c>
    </row>
    <row r="132" spans="1:7">
      <c r="A132" s="557">
        <v>15</v>
      </c>
      <c r="B132" s="35" t="s">
        <v>225</v>
      </c>
      <c r="C132" s="189">
        <v>9.3948</v>
      </c>
    </row>
    <row r="133" spans="1:7">
      <c r="A133" s="557">
        <v>16</v>
      </c>
      <c r="B133" s="35" t="s">
        <v>328</v>
      </c>
      <c r="C133" s="189">
        <v>9.3948</v>
      </c>
    </row>
    <row r="134" spans="1:7">
      <c r="A134" s="557">
        <v>17</v>
      </c>
      <c r="B134" s="35" t="s">
        <v>2</v>
      </c>
      <c r="C134" s="189">
        <v>9.3948</v>
      </c>
    </row>
    <row r="135" spans="1:7">
      <c r="A135" s="453"/>
      <c r="B135" s="673" t="s">
        <v>143</v>
      </c>
      <c r="C135" s="331">
        <f>SUM(C118:C134)</f>
        <v>159.71160000000003</v>
      </c>
      <c r="G135" s="4">
        <v>159.7116</v>
      </c>
    </row>
    <row r="137" spans="1:7">
      <c r="C137" s="575"/>
    </row>
  </sheetData>
  <mergeCells count="13">
    <mergeCell ref="A115:C115"/>
    <mergeCell ref="A106:C106"/>
    <mergeCell ref="A93:C94"/>
    <mergeCell ref="A6:D6"/>
    <mergeCell ref="B7:C7"/>
    <mergeCell ref="A37:C37"/>
    <mergeCell ref="A13:C13"/>
    <mergeCell ref="A10:C10"/>
    <mergeCell ref="E14:F14"/>
    <mergeCell ref="A35:C35"/>
    <mergeCell ref="A59:C59"/>
    <mergeCell ref="A80:C81"/>
    <mergeCell ref="A91:C91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60" orientation="portrait" r:id="rId1"/>
  <rowBreaks count="1" manualBreakCount="1">
    <brk id="49" max="2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F119"/>
  <sheetViews>
    <sheetView view="pageBreakPreview" topLeftCell="A88" zoomScaleSheetLayoutView="100" workbookViewId="0">
      <selection activeCell="E60" sqref="E60"/>
    </sheetView>
  </sheetViews>
  <sheetFormatPr defaultRowHeight="12.75"/>
  <cols>
    <col min="1" max="1" width="9.140625" style="4"/>
    <col min="2" max="2" width="46.140625" style="4" customWidth="1"/>
    <col min="3" max="3" width="22" style="37" customWidth="1"/>
    <col min="4" max="4" width="6.140625" style="4" hidden="1" customWidth="1"/>
    <col min="5" max="5" width="15.140625" style="4" customWidth="1"/>
    <col min="6" max="6" width="11" style="4" customWidth="1"/>
    <col min="7" max="16384" width="9.140625" style="4"/>
  </cols>
  <sheetData>
    <row r="1" spans="1:6">
      <c r="E1" s="20" t="s">
        <v>1226</v>
      </c>
    </row>
    <row r="2" spans="1:6">
      <c r="E2" s="20" t="s">
        <v>141</v>
      </c>
    </row>
    <row r="3" spans="1:6">
      <c r="E3" s="20" t="s">
        <v>240</v>
      </c>
    </row>
    <row r="4" spans="1:6">
      <c r="A4" s="12"/>
      <c r="E4" s="20" t="s">
        <v>104</v>
      </c>
    </row>
    <row r="5" spans="1:6">
      <c r="A5" s="17"/>
      <c r="E5" s="20" t="s">
        <v>241</v>
      </c>
    </row>
    <row r="6" spans="1:6">
      <c r="A6" s="18"/>
      <c r="B6" s="832" t="s">
        <v>1195</v>
      </c>
      <c r="C6" s="832"/>
      <c r="D6" s="832"/>
      <c r="E6" s="832"/>
    </row>
    <row r="7" spans="1:6">
      <c r="A7" s="18"/>
      <c r="B7" s="832" t="s">
        <v>1214</v>
      </c>
      <c r="C7" s="832"/>
      <c r="D7" s="832"/>
      <c r="E7" s="832"/>
    </row>
    <row r="8" spans="1:6">
      <c r="A8" s="8"/>
      <c r="B8" s="8"/>
      <c r="C8" s="29"/>
    </row>
    <row r="9" spans="1:6" ht="39" customHeight="1">
      <c r="A9" s="862" t="s">
        <v>1213</v>
      </c>
      <c r="B9" s="862"/>
      <c r="C9" s="862"/>
      <c r="E9" s="872"/>
      <c r="F9" s="872"/>
    </row>
    <row r="10" spans="1:6">
      <c r="A10" s="11"/>
      <c r="B10" s="11"/>
      <c r="C10" s="30"/>
      <c r="E10" s="27"/>
      <c r="F10" s="27"/>
    </row>
    <row r="11" spans="1:6" ht="17.25" customHeight="1">
      <c r="A11" s="872" t="s">
        <v>237</v>
      </c>
      <c r="B11" s="872"/>
      <c r="C11" s="872"/>
      <c r="E11" s="27"/>
      <c r="F11" s="27"/>
    </row>
    <row r="12" spans="1:6" ht="8.25" customHeight="1">
      <c r="A12" s="11"/>
      <c r="B12" s="11"/>
      <c r="C12" s="30"/>
      <c r="E12" s="27"/>
      <c r="F12" s="27"/>
    </row>
    <row r="13" spans="1:6">
      <c r="A13" s="11"/>
      <c r="B13" s="11"/>
      <c r="E13" s="387" t="s">
        <v>128</v>
      </c>
      <c r="F13" s="27"/>
    </row>
    <row r="14" spans="1:6" ht="7.5" customHeight="1">
      <c r="A14" s="11"/>
      <c r="B14" s="11"/>
      <c r="C14" s="30"/>
      <c r="E14" s="27"/>
      <c r="F14" s="27"/>
    </row>
    <row r="15" spans="1:6" ht="33" customHeight="1">
      <c r="A15" s="881" t="s">
        <v>1216</v>
      </c>
      <c r="B15" s="881"/>
      <c r="C15" s="881"/>
      <c r="D15" s="881"/>
      <c r="E15" s="881"/>
      <c r="F15" s="27"/>
    </row>
    <row r="16" spans="1:6">
      <c r="A16" s="19"/>
      <c r="C16" s="4"/>
      <c r="E16" s="20" t="s">
        <v>105</v>
      </c>
      <c r="F16" s="309"/>
    </row>
    <row r="17" spans="1:6">
      <c r="A17" s="864" t="s">
        <v>277</v>
      </c>
      <c r="B17" s="864" t="s">
        <v>146</v>
      </c>
      <c r="C17" s="36" t="s">
        <v>1119</v>
      </c>
      <c r="D17" s="23"/>
      <c r="E17" s="442" t="s">
        <v>1120</v>
      </c>
      <c r="F17" s="27"/>
    </row>
    <row r="18" spans="1:6" ht="21" customHeight="1">
      <c r="A18" s="865"/>
      <c r="B18" s="865"/>
      <c r="C18" s="308" t="s">
        <v>49</v>
      </c>
      <c r="E18" s="308" t="s">
        <v>49</v>
      </c>
      <c r="F18" s="33"/>
    </row>
    <row r="19" spans="1:6" ht="21" customHeight="1">
      <c r="A19" s="34">
        <v>1</v>
      </c>
      <c r="B19" s="35" t="s">
        <v>212</v>
      </c>
      <c r="C19" s="189">
        <v>1.9</v>
      </c>
      <c r="D19" s="189">
        <v>1.3</v>
      </c>
      <c r="E19" s="189">
        <v>1.9</v>
      </c>
      <c r="F19" s="33"/>
    </row>
    <row r="20" spans="1:6" ht="21" customHeight="1">
      <c r="A20" s="34">
        <v>2</v>
      </c>
      <c r="B20" s="35" t="s">
        <v>213</v>
      </c>
      <c r="C20" s="189">
        <v>3.2</v>
      </c>
      <c r="D20" s="189">
        <v>3.1</v>
      </c>
      <c r="E20" s="189">
        <v>3.4</v>
      </c>
      <c r="F20" s="33"/>
    </row>
    <row r="21" spans="1:6" ht="21" customHeight="1">
      <c r="A21" s="34">
        <v>3</v>
      </c>
      <c r="B21" s="35" t="s">
        <v>214</v>
      </c>
      <c r="C21" s="189">
        <v>1.9</v>
      </c>
      <c r="D21" s="189">
        <v>1.5</v>
      </c>
      <c r="E21" s="189">
        <v>2</v>
      </c>
      <c r="F21" s="33"/>
    </row>
    <row r="22" spans="1:6" ht="21" customHeight="1">
      <c r="A22" s="34">
        <v>4</v>
      </c>
      <c r="B22" s="35" t="s">
        <v>228</v>
      </c>
      <c r="C22" s="189">
        <v>3.5</v>
      </c>
      <c r="D22" s="201"/>
      <c r="E22" s="661">
        <v>3.6</v>
      </c>
      <c r="F22" s="33"/>
    </row>
    <row r="23" spans="1:6" ht="21" customHeight="1">
      <c r="A23" s="34">
        <v>5</v>
      </c>
      <c r="B23" s="35" t="s">
        <v>215</v>
      </c>
      <c r="C23" s="189">
        <v>1.2</v>
      </c>
      <c r="D23" s="189">
        <v>1</v>
      </c>
      <c r="E23" s="189">
        <v>1.3</v>
      </c>
      <c r="F23" s="33"/>
    </row>
    <row r="24" spans="1:6" ht="21" customHeight="1">
      <c r="A24" s="34">
        <v>6</v>
      </c>
      <c r="B24" s="35" t="s">
        <v>217</v>
      </c>
      <c r="C24" s="189">
        <v>1.4</v>
      </c>
      <c r="D24" s="201"/>
      <c r="E24" s="661">
        <v>1.4</v>
      </c>
      <c r="F24" s="33"/>
    </row>
    <row r="25" spans="1:6" ht="21" customHeight="1">
      <c r="A25" s="34">
        <v>7</v>
      </c>
      <c r="B25" s="35" t="s">
        <v>218</v>
      </c>
      <c r="C25" s="189">
        <v>1</v>
      </c>
      <c r="D25" s="201"/>
      <c r="E25" s="661">
        <v>1</v>
      </c>
      <c r="F25" s="33" t="s">
        <v>86</v>
      </c>
    </row>
    <row r="26" spans="1:6" ht="21" customHeight="1">
      <c r="A26" s="34">
        <v>8</v>
      </c>
      <c r="B26" s="35" t="s">
        <v>219</v>
      </c>
      <c r="C26" s="189">
        <v>0.9</v>
      </c>
      <c r="D26" s="189">
        <v>0.8</v>
      </c>
      <c r="E26" s="189">
        <v>1</v>
      </c>
      <c r="F26" s="33"/>
    </row>
    <row r="27" spans="1:6" ht="21" customHeight="1">
      <c r="A27" s="34">
        <v>9</v>
      </c>
      <c r="B27" s="35" t="s">
        <v>220</v>
      </c>
      <c r="C27" s="189">
        <v>1.4</v>
      </c>
      <c r="D27" s="189">
        <v>0.8</v>
      </c>
      <c r="E27" s="189">
        <v>1.4</v>
      </c>
      <c r="F27" s="33"/>
    </row>
    <row r="28" spans="1:6" ht="21" customHeight="1">
      <c r="A28" s="34">
        <v>10</v>
      </c>
      <c r="B28" s="35" t="s">
        <v>3</v>
      </c>
      <c r="C28" s="189">
        <v>3.4</v>
      </c>
      <c r="D28" s="201"/>
      <c r="E28" s="661">
        <v>3.5</v>
      </c>
      <c r="F28" s="33"/>
    </row>
    <row r="29" spans="1:6" ht="21" customHeight="1">
      <c r="A29" s="34">
        <v>11</v>
      </c>
      <c r="B29" s="35" t="s">
        <v>331</v>
      </c>
      <c r="C29" s="189">
        <v>3.1</v>
      </c>
      <c r="D29" s="189">
        <v>3.3</v>
      </c>
      <c r="E29" s="189">
        <v>3.2</v>
      </c>
      <c r="F29" s="33"/>
    </row>
    <row r="30" spans="1:6">
      <c r="A30" s="34">
        <v>12</v>
      </c>
      <c r="B30" s="35" t="s">
        <v>222</v>
      </c>
      <c r="C30" s="189">
        <v>5.5</v>
      </c>
      <c r="D30" s="189">
        <v>4</v>
      </c>
      <c r="E30" s="189">
        <v>5.7</v>
      </c>
    </row>
    <row r="31" spans="1:6">
      <c r="A31" s="34">
        <v>13</v>
      </c>
      <c r="B31" s="35" t="s">
        <v>223</v>
      </c>
      <c r="C31" s="189">
        <v>5.6</v>
      </c>
      <c r="D31" s="189">
        <v>4.0999999999999996</v>
      </c>
      <c r="E31" s="189">
        <v>5.8</v>
      </c>
    </row>
    <row r="32" spans="1:6">
      <c r="A32" s="34">
        <v>14</v>
      </c>
      <c r="B32" s="35" t="s">
        <v>224</v>
      </c>
      <c r="C32" s="189">
        <v>1.6</v>
      </c>
      <c r="D32" s="201"/>
      <c r="E32" s="117">
        <v>1.7</v>
      </c>
    </row>
    <row r="33" spans="1:6">
      <c r="A33" s="34">
        <v>15</v>
      </c>
      <c r="B33" s="35" t="s">
        <v>225</v>
      </c>
      <c r="C33" s="189">
        <v>2</v>
      </c>
      <c r="D33" s="189">
        <v>1.8</v>
      </c>
      <c r="E33" s="189">
        <v>2.1</v>
      </c>
    </row>
    <row r="34" spans="1:6">
      <c r="A34" s="34">
        <v>16</v>
      </c>
      <c r="B34" s="35" t="s">
        <v>328</v>
      </c>
      <c r="C34" s="189">
        <v>7.6</v>
      </c>
      <c r="D34" s="189">
        <v>6.3</v>
      </c>
      <c r="E34" s="189">
        <v>7.9</v>
      </c>
    </row>
    <row r="35" spans="1:6">
      <c r="A35" s="34">
        <v>17</v>
      </c>
      <c r="B35" s="35" t="s">
        <v>2</v>
      </c>
      <c r="C35" s="189">
        <v>59</v>
      </c>
      <c r="D35" s="189">
        <v>43.8</v>
      </c>
      <c r="E35" s="189">
        <v>61.4</v>
      </c>
    </row>
    <row r="36" spans="1:6">
      <c r="A36" s="23"/>
      <c r="B36" s="13" t="s">
        <v>143</v>
      </c>
      <c r="C36" s="331">
        <f>SUM(C19:C35)</f>
        <v>104.2</v>
      </c>
      <c r="D36" s="201"/>
      <c r="E36" s="337">
        <f>SUM(E19:E35)</f>
        <v>108.3</v>
      </c>
    </row>
    <row r="37" spans="1:6">
      <c r="A37" s="10"/>
      <c r="B37" s="11"/>
      <c r="C37" s="38"/>
    </row>
    <row r="38" spans="1:6" ht="12" customHeight="1">
      <c r="A38" s="882" t="s">
        <v>107</v>
      </c>
      <c r="B38" s="882"/>
      <c r="C38" s="882"/>
      <c r="E38" s="10"/>
      <c r="F38" s="10"/>
    </row>
    <row r="39" spans="1:6" ht="12" customHeight="1">
      <c r="E39" s="10"/>
      <c r="F39" s="10"/>
    </row>
    <row r="40" spans="1:6" ht="12" customHeight="1">
      <c r="D40" s="126"/>
      <c r="E40" s="387" t="s">
        <v>238</v>
      </c>
      <c r="F40" s="183"/>
    </row>
    <row r="41" spans="1:6" ht="27" customHeight="1">
      <c r="A41" s="881" t="s">
        <v>1222</v>
      </c>
      <c r="B41" s="881"/>
      <c r="C41" s="881"/>
      <c r="D41" s="881"/>
      <c r="E41" s="881"/>
      <c r="F41" s="183"/>
    </row>
    <row r="42" spans="1:6">
      <c r="A42" s="19"/>
      <c r="D42" s="126"/>
      <c r="E42" s="20" t="s">
        <v>105</v>
      </c>
      <c r="F42" s="183"/>
    </row>
    <row r="43" spans="1:6">
      <c r="A43" s="864" t="s">
        <v>277</v>
      </c>
      <c r="B43" s="864" t="s">
        <v>146</v>
      </c>
      <c r="C43" s="36" t="s">
        <v>986</v>
      </c>
      <c r="D43" s="396"/>
      <c r="E43" s="307" t="s">
        <v>1223</v>
      </c>
      <c r="F43" s="183"/>
    </row>
    <row r="44" spans="1:6" ht="21" customHeight="1">
      <c r="A44" s="865"/>
      <c r="B44" s="865"/>
      <c r="C44" s="22" t="s">
        <v>49</v>
      </c>
      <c r="D44" s="183"/>
      <c r="E44" s="22" t="s">
        <v>49</v>
      </c>
      <c r="F44" s="183"/>
    </row>
    <row r="45" spans="1:6">
      <c r="A45" s="392">
        <v>1</v>
      </c>
      <c r="B45" s="176" t="s">
        <v>212</v>
      </c>
      <c r="C45" s="556">
        <v>2264.21</v>
      </c>
      <c r="D45" s="556">
        <v>2346.98</v>
      </c>
      <c r="E45" s="556">
        <v>2320.58</v>
      </c>
      <c r="F45" s="183"/>
    </row>
    <row r="46" spans="1:6">
      <c r="A46" s="392">
        <v>2</v>
      </c>
      <c r="B46" s="176" t="s">
        <v>213</v>
      </c>
      <c r="C46" s="556">
        <v>3698.48</v>
      </c>
      <c r="D46" s="556">
        <v>3890.53</v>
      </c>
      <c r="E46" s="556">
        <v>3624.35</v>
      </c>
      <c r="F46" s="183"/>
    </row>
    <row r="47" spans="1:6">
      <c r="A47" s="392">
        <v>3</v>
      </c>
      <c r="B47" s="176" t="s">
        <v>214</v>
      </c>
      <c r="C47" s="556">
        <v>2502.96</v>
      </c>
      <c r="D47" s="556">
        <v>2605.4</v>
      </c>
      <c r="E47" s="556">
        <v>2539.48</v>
      </c>
      <c r="F47" s="183"/>
    </row>
    <row r="48" spans="1:6">
      <c r="A48" s="392">
        <v>4</v>
      </c>
      <c r="B48" s="176" t="s">
        <v>215</v>
      </c>
      <c r="C48" s="556">
        <v>2741.14</v>
      </c>
      <c r="D48" s="556">
        <v>2857.99</v>
      </c>
      <c r="E48" s="556">
        <v>2758.6</v>
      </c>
      <c r="F48" s="183"/>
    </row>
    <row r="49" spans="1:6">
      <c r="A49" s="392">
        <v>5</v>
      </c>
      <c r="B49" s="176" t="s">
        <v>216</v>
      </c>
      <c r="C49" s="556">
        <v>3467.79</v>
      </c>
      <c r="D49" s="556">
        <v>3650.94</v>
      </c>
      <c r="E49" s="556">
        <v>3408.33</v>
      </c>
      <c r="F49" s="183"/>
    </row>
    <row r="50" spans="1:6">
      <c r="A50" s="392">
        <v>6</v>
      </c>
      <c r="B50" s="176" t="s">
        <v>217</v>
      </c>
      <c r="C50" s="556">
        <v>2654.31</v>
      </c>
      <c r="D50" s="556">
        <v>2767.79</v>
      </c>
      <c r="E50" s="556">
        <v>2677.32</v>
      </c>
      <c r="F50" s="183"/>
    </row>
    <row r="51" spans="1:6">
      <c r="A51" s="392">
        <v>7</v>
      </c>
      <c r="B51" s="176" t="s">
        <v>218</v>
      </c>
      <c r="C51" s="556">
        <v>2145.4</v>
      </c>
      <c r="D51" s="556">
        <v>2253.81</v>
      </c>
      <c r="E51" s="556">
        <v>2215.1999999999998</v>
      </c>
      <c r="F51" s="183"/>
    </row>
    <row r="52" spans="1:6">
      <c r="A52" s="392">
        <v>8</v>
      </c>
      <c r="B52" s="176" t="s">
        <v>219</v>
      </c>
      <c r="C52" s="556">
        <v>2210.21</v>
      </c>
      <c r="D52" s="556">
        <v>2290.89</v>
      </c>
      <c r="E52" s="556">
        <v>2273.52</v>
      </c>
      <c r="F52" s="183"/>
    </row>
    <row r="53" spans="1:6">
      <c r="A53" s="392">
        <v>9</v>
      </c>
      <c r="B53" s="176" t="s">
        <v>220</v>
      </c>
      <c r="C53" s="556">
        <v>1759.74</v>
      </c>
      <c r="D53" s="556">
        <v>1810.04</v>
      </c>
      <c r="E53" s="556">
        <v>1862.1</v>
      </c>
      <c r="F53" s="183"/>
    </row>
    <row r="54" spans="1:6">
      <c r="A54" s="392">
        <v>10</v>
      </c>
      <c r="B54" s="176" t="s">
        <v>221</v>
      </c>
      <c r="C54" s="556">
        <v>3418.46</v>
      </c>
      <c r="D54" s="556">
        <v>3592.61</v>
      </c>
      <c r="E54" s="556">
        <v>3367.54</v>
      </c>
      <c r="F54" s="183"/>
    </row>
    <row r="55" spans="1:6">
      <c r="A55" s="392">
        <v>11</v>
      </c>
      <c r="B55" s="176" t="s">
        <v>226</v>
      </c>
      <c r="C55" s="556">
        <v>3713</v>
      </c>
      <c r="D55" s="556">
        <v>3903.96</v>
      </c>
      <c r="E55" s="556">
        <v>3639.92</v>
      </c>
      <c r="F55" s="183"/>
    </row>
    <row r="56" spans="1:6">
      <c r="A56" s="392">
        <v>12</v>
      </c>
      <c r="B56" s="176" t="s">
        <v>222</v>
      </c>
      <c r="C56" s="556">
        <v>3314.32</v>
      </c>
      <c r="D56" s="556">
        <v>3483.18</v>
      </c>
      <c r="E56" s="556">
        <v>3271.2</v>
      </c>
      <c r="F56" s="183"/>
    </row>
    <row r="57" spans="1:6">
      <c r="A57" s="392">
        <v>13</v>
      </c>
      <c r="B57" s="176" t="s">
        <v>223</v>
      </c>
      <c r="C57" s="556">
        <v>4235.93</v>
      </c>
      <c r="D57" s="556">
        <v>4468.84</v>
      </c>
      <c r="E57" s="556">
        <v>4112.17</v>
      </c>
      <c r="F57" s="183"/>
    </row>
    <row r="58" spans="1:6">
      <c r="A58" s="392">
        <v>14</v>
      </c>
      <c r="B58" s="176" t="s">
        <v>224</v>
      </c>
      <c r="C58" s="556">
        <v>2210.77</v>
      </c>
      <c r="D58" s="556">
        <v>2294.4699999999998</v>
      </c>
      <c r="E58" s="556">
        <v>2271.59</v>
      </c>
      <c r="F58" s="183"/>
    </row>
    <row r="59" spans="1:6">
      <c r="A59" s="392">
        <v>15</v>
      </c>
      <c r="B59" s="176" t="s">
        <v>413</v>
      </c>
      <c r="C59" s="556">
        <v>2932.08</v>
      </c>
      <c r="D59" s="556">
        <v>3069.37</v>
      </c>
      <c r="E59" s="556">
        <v>2926.9</v>
      </c>
      <c r="F59" s="183"/>
    </row>
    <row r="60" spans="1:6" ht="28.5" customHeight="1">
      <c r="A60" s="391"/>
      <c r="B60" s="177" t="s">
        <v>143</v>
      </c>
      <c r="C60" s="331">
        <f>SUM(C45:C59)</f>
        <v>43268.800000000003</v>
      </c>
      <c r="D60" s="397"/>
      <c r="E60" s="330">
        <f>SUM(E45:E59)</f>
        <v>43268.799999999996</v>
      </c>
      <c r="F60" s="183"/>
    </row>
    <row r="61" spans="1:6">
      <c r="A61" s="10"/>
      <c r="B61" s="393"/>
      <c r="C61" s="394"/>
      <c r="D61" s="395"/>
      <c r="E61" s="344"/>
      <c r="F61" s="183"/>
    </row>
    <row r="62" spans="1:6">
      <c r="F62" s="10"/>
    </row>
    <row r="63" spans="1:6">
      <c r="E63" s="387" t="s">
        <v>866</v>
      </c>
      <c r="F63" s="10"/>
    </row>
    <row r="64" spans="1:6" ht="37.5" customHeight="1">
      <c r="A64" s="866" t="s">
        <v>987</v>
      </c>
      <c r="B64" s="866"/>
      <c r="C64" s="866"/>
      <c r="D64" s="866"/>
      <c r="E64" s="866"/>
      <c r="F64" s="10"/>
    </row>
    <row r="65" spans="1:6">
      <c r="C65" s="696" t="s">
        <v>105</v>
      </c>
      <c r="D65" s="12"/>
      <c r="F65" s="10"/>
    </row>
    <row r="66" spans="1:6" ht="26.25" customHeight="1">
      <c r="A66" s="666" t="s">
        <v>277</v>
      </c>
      <c r="B66" s="666" t="s">
        <v>146</v>
      </c>
      <c r="C66" s="666" t="s">
        <v>1221</v>
      </c>
      <c r="D66" s="781"/>
      <c r="E66" s="467"/>
      <c r="F66" s="10"/>
    </row>
    <row r="67" spans="1:6" ht="15">
      <c r="A67" s="553">
        <v>1</v>
      </c>
      <c r="B67" s="553" t="s">
        <v>212</v>
      </c>
      <c r="C67" s="559">
        <v>221.762</v>
      </c>
      <c r="D67" s="781"/>
      <c r="E67" s="652"/>
      <c r="F67" s="10"/>
    </row>
    <row r="68" spans="1:6">
      <c r="A68" s="453">
        <v>2</v>
      </c>
      <c r="B68" s="453" t="s">
        <v>213</v>
      </c>
      <c r="C68" s="559">
        <v>430.85199999999998</v>
      </c>
      <c r="D68" s="781"/>
      <c r="E68" s="652"/>
      <c r="F68" s="10"/>
    </row>
    <row r="69" spans="1:6">
      <c r="A69" s="453">
        <v>3</v>
      </c>
      <c r="B69" s="453" t="s">
        <v>214</v>
      </c>
      <c r="C69" s="559">
        <v>291.459</v>
      </c>
      <c r="D69" s="781"/>
      <c r="E69" s="652"/>
      <c r="F69" s="10"/>
    </row>
    <row r="70" spans="1:6">
      <c r="A70" s="453">
        <v>4</v>
      </c>
      <c r="B70" s="453" t="s">
        <v>215</v>
      </c>
      <c r="C70" s="559">
        <v>236.018</v>
      </c>
      <c r="D70" s="781"/>
      <c r="E70" s="652"/>
      <c r="F70" s="10"/>
    </row>
    <row r="71" spans="1:6">
      <c r="A71" s="453">
        <v>5</v>
      </c>
      <c r="B71" s="453" t="s">
        <v>216</v>
      </c>
      <c r="C71" s="559">
        <v>435.60399999999998</v>
      </c>
      <c r="D71" s="781"/>
      <c r="E71" s="652"/>
      <c r="F71" s="10"/>
    </row>
    <row r="72" spans="1:6">
      <c r="A72" s="453">
        <v>6</v>
      </c>
      <c r="B72" s="453" t="s">
        <v>217</v>
      </c>
      <c r="C72" s="559">
        <v>205.28899999999999</v>
      </c>
      <c r="D72" s="781"/>
      <c r="E72" s="652"/>
      <c r="F72" s="10"/>
    </row>
    <row r="73" spans="1:6">
      <c r="A73" s="453">
        <v>7</v>
      </c>
      <c r="B73" s="453" t="s">
        <v>218</v>
      </c>
      <c r="C73" s="559">
        <v>329.47500000000002</v>
      </c>
      <c r="D73" s="781"/>
      <c r="E73" s="652"/>
      <c r="F73" s="10"/>
    </row>
    <row r="74" spans="1:6">
      <c r="A74" s="453">
        <v>8</v>
      </c>
      <c r="B74" s="453" t="s">
        <v>219</v>
      </c>
      <c r="C74" s="559">
        <v>253.44300000000001</v>
      </c>
      <c r="D74" s="781"/>
      <c r="E74" s="652"/>
      <c r="F74" s="10"/>
    </row>
    <row r="75" spans="1:6">
      <c r="A75" s="453">
        <v>9</v>
      </c>
      <c r="B75" s="453" t="s">
        <v>220</v>
      </c>
      <c r="C75" s="559">
        <v>194.83</v>
      </c>
      <c r="D75" s="781"/>
      <c r="E75" s="652"/>
      <c r="F75" s="10"/>
    </row>
    <row r="76" spans="1:6">
      <c r="A76" s="453">
        <v>10</v>
      </c>
      <c r="B76" s="453" t="s">
        <v>221</v>
      </c>
      <c r="C76" s="559">
        <v>250</v>
      </c>
      <c r="D76" s="781"/>
      <c r="E76" s="652"/>
      <c r="F76" s="10"/>
    </row>
    <row r="77" spans="1:6">
      <c r="A77" s="453">
        <v>10</v>
      </c>
      <c r="B77" s="453" t="s">
        <v>226</v>
      </c>
      <c r="C77" s="559">
        <v>396.00400000000002</v>
      </c>
      <c r="D77" s="781"/>
      <c r="E77" s="652"/>
      <c r="F77" s="10"/>
    </row>
    <row r="78" spans="1:6">
      <c r="A78" s="453">
        <v>11</v>
      </c>
      <c r="B78" s="453" t="s">
        <v>222</v>
      </c>
      <c r="C78" s="559">
        <v>133.05799999999999</v>
      </c>
      <c r="D78" s="781"/>
      <c r="E78" s="652"/>
      <c r="F78" s="10"/>
    </row>
    <row r="79" spans="1:6">
      <c r="A79" s="453">
        <v>12</v>
      </c>
      <c r="B79" s="453" t="s">
        <v>223</v>
      </c>
      <c r="C79" s="559">
        <v>300.22000000000003</v>
      </c>
      <c r="D79" s="781"/>
      <c r="E79" s="652"/>
      <c r="F79" s="10"/>
    </row>
    <row r="80" spans="1:6">
      <c r="A80" s="453">
        <v>13</v>
      </c>
      <c r="B80" s="453" t="s">
        <v>1220</v>
      </c>
      <c r="C80" s="559">
        <v>253.44300000000001</v>
      </c>
      <c r="D80" s="782">
        <v>253.44300000000001</v>
      </c>
      <c r="E80" s="652"/>
      <c r="F80" s="10"/>
    </row>
    <row r="81" spans="1:6">
      <c r="A81" s="453">
        <v>14</v>
      </c>
      <c r="B81" s="453" t="s">
        <v>225</v>
      </c>
      <c r="C81" s="559">
        <v>305.39499999999998</v>
      </c>
      <c r="D81" s="781"/>
      <c r="E81" s="652"/>
      <c r="F81" s="10"/>
    </row>
    <row r="82" spans="1:6">
      <c r="A82" s="554"/>
      <c r="B82" s="554" t="s">
        <v>143</v>
      </c>
      <c r="C82" s="558">
        <f>SUM(C67:C81)</f>
        <v>4236.8520000000008</v>
      </c>
      <c r="D82" s="781"/>
      <c r="E82" s="715"/>
      <c r="F82" s="10"/>
    </row>
    <row r="83" spans="1:6">
      <c r="E83" s="387"/>
      <c r="F83" s="10"/>
    </row>
    <row r="84" spans="1:6">
      <c r="E84" s="387"/>
      <c r="F84" s="10"/>
    </row>
    <row r="85" spans="1:6">
      <c r="E85" s="387"/>
      <c r="F85" s="10"/>
    </row>
    <row r="86" spans="1:6">
      <c r="E86" s="387"/>
      <c r="F86" s="10"/>
    </row>
    <row r="87" spans="1:6">
      <c r="E87" s="387" t="s">
        <v>867</v>
      </c>
      <c r="F87" s="10"/>
    </row>
    <row r="88" spans="1:6" ht="29.25" customHeight="1">
      <c r="A88" s="866" t="s">
        <v>988</v>
      </c>
      <c r="B88" s="866"/>
      <c r="C88" s="866"/>
      <c r="D88" s="866"/>
      <c r="E88" s="866"/>
      <c r="F88" s="10"/>
    </row>
    <row r="89" spans="1:6">
      <c r="C89" s="37" t="s">
        <v>105</v>
      </c>
      <c r="F89" s="10"/>
    </row>
    <row r="90" spans="1:6" ht="25.5">
      <c r="A90" s="666" t="s">
        <v>277</v>
      </c>
      <c r="B90" s="666" t="s">
        <v>146</v>
      </c>
      <c r="C90" s="666" t="s">
        <v>1224</v>
      </c>
      <c r="D90" s="781"/>
      <c r="E90" s="467"/>
      <c r="F90" s="10"/>
    </row>
    <row r="91" spans="1:6">
      <c r="A91" s="453">
        <v>1</v>
      </c>
      <c r="B91" s="453" t="s">
        <v>213</v>
      </c>
      <c r="C91" s="559">
        <v>43.35</v>
      </c>
      <c r="D91" s="781"/>
      <c r="E91" s="783"/>
      <c r="F91" s="10"/>
    </row>
    <row r="92" spans="1:6">
      <c r="A92" s="453">
        <v>2</v>
      </c>
      <c r="B92" s="453" t="s">
        <v>216</v>
      </c>
      <c r="C92" s="559">
        <v>43.35</v>
      </c>
      <c r="D92" s="781"/>
      <c r="E92" s="783"/>
      <c r="F92" s="10"/>
    </row>
    <row r="93" spans="1:6">
      <c r="A93" s="453">
        <v>3</v>
      </c>
      <c r="B93" s="453" t="s">
        <v>223</v>
      </c>
      <c r="C93" s="559">
        <v>43.35</v>
      </c>
      <c r="D93" s="781"/>
      <c r="E93" s="783"/>
      <c r="F93" s="10"/>
    </row>
    <row r="94" spans="1:6">
      <c r="A94" s="453">
        <v>4</v>
      </c>
      <c r="B94" s="453" t="s">
        <v>225</v>
      </c>
      <c r="C94" s="559">
        <v>75</v>
      </c>
      <c r="D94" s="781"/>
      <c r="E94" s="783"/>
      <c r="F94" s="10"/>
    </row>
    <row r="95" spans="1:6">
      <c r="A95" s="453"/>
      <c r="B95" s="263" t="s">
        <v>143</v>
      </c>
      <c r="C95" s="559">
        <f>C91+C92+C93+C94</f>
        <v>205.05</v>
      </c>
      <c r="D95" s="782">
        <f>SUM(D91:D92)</f>
        <v>0</v>
      </c>
      <c r="E95" s="652"/>
      <c r="F95" s="10"/>
    </row>
    <row r="96" spans="1:6">
      <c r="E96" s="387"/>
      <c r="F96" s="10"/>
    </row>
    <row r="97" spans="1:6">
      <c r="E97" s="387"/>
      <c r="F97" s="10"/>
    </row>
    <row r="98" spans="1:6">
      <c r="C98" s="575" t="s">
        <v>868</v>
      </c>
      <c r="E98" s="387"/>
      <c r="F98" s="10"/>
    </row>
    <row r="99" spans="1:6" ht="36.75" customHeight="1">
      <c r="A99" s="866" t="s">
        <v>1219</v>
      </c>
      <c r="B99" s="866"/>
      <c r="C99" s="866"/>
    </row>
    <row r="100" spans="1:6">
      <c r="A100" s="19"/>
      <c r="C100" s="20" t="s">
        <v>105</v>
      </c>
    </row>
    <row r="101" spans="1:6">
      <c r="A101" s="673" t="s">
        <v>277</v>
      </c>
      <c r="B101" s="673" t="s">
        <v>146</v>
      </c>
      <c r="C101" s="22" t="s">
        <v>49</v>
      </c>
    </row>
    <row r="102" spans="1:6">
      <c r="A102" s="557">
        <v>1</v>
      </c>
      <c r="B102" s="35" t="s">
        <v>212</v>
      </c>
      <c r="C102" s="189">
        <v>9.3948</v>
      </c>
    </row>
    <row r="103" spans="1:6">
      <c r="A103" s="557">
        <v>2</v>
      </c>
      <c r="B103" s="35" t="s">
        <v>213</v>
      </c>
      <c r="C103" s="189">
        <v>9.3948</v>
      </c>
    </row>
    <row r="104" spans="1:6">
      <c r="A104" s="557">
        <v>3</v>
      </c>
      <c r="B104" s="35" t="s">
        <v>214</v>
      </c>
      <c r="C104" s="189">
        <v>9.3948</v>
      </c>
    </row>
    <row r="105" spans="1:6">
      <c r="A105" s="557">
        <v>4</v>
      </c>
      <c r="B105" s="35" t="s">
        <v>228</v>
      </c>
      <c r="C105" s="189">
        <v>9.3948</v>
      </c>
    </row>
    <row r="106" spans="1:6">
      <c r="A106" s="557">
        <v>5</v>
      </c>
      <c r="B106" s="35" t="s">
        <v>215</v>
      </c>
      <c r="C106" s="189">
        <v>9.3948</v>
      </c>
    </row>
    <row r="107" spans="1:6">
      <c r="A107" s="557">
        <v>6</v>
      </c>
      <c r="B107" s="35" t="s">
        <v>217</v>
      </c>
      <c r="C107" s="189">
        <v>9.3948</v>
      </c>
    </row>
    <row r="108" spans="1:6">
      <c r="A108" s="557">
        <v>7</v>
      </c>
      <c r="B108" s="35" t="s">
        <v>218</v>
      </c>
      <c r="C108" s="189">
        <v>9.3948</v>
      </c>
    </row>
    <row r="109" spans="1:6">
      <c r="A109" s="557">
        <v>8</v>
      </c>
      <c r="B109" s="35" t="s">
        <v>219</v>
      </c>
      <c r="C109" s="189">
        <v>9.3948</v>
      </c>
    </row>
    <row r="110" spans="1:6">
      <c r="A110" s="557">
        <v>9</v>
      </c>
      <c r="B110" s="35" t="s">
        <v>220</v>
      </c>
      <c r="C110" s="189">
        <v>9.3948</v>
      </c>
    </row>
    <row r="111" spans="1:6">
      <c r="A111" s="557">
        <v>10</v>
      </c>
      <c r="B111" s="35" t="s">
        <v>3</v>
      </c>
      <c r="C111" s="189">
        <v>9.3948</v>
      </c>
    </row>
    <row r="112" spans="1:6">
      <c r="A112" s="557">
        <v>11</v>
      </c>
      <c r="B112" s="35" t="s">
        <v>331</v>
      </c>
      <c r="C112" s="189">
        <v>9.3948</v>
      </c>
    </row>
    <row r="113" spans="1:3">
      <c r="A113" s="557">
        <v>12</v>
      </c>
      <c r="B113" s="35" t="s">
        <v>222</v>
      </c>
      <c r="C113" s="189">
        <v>9.3948</v>
      </c>
    </row>
    <row r="114" spans="1:3">
      <c r="A114" s="557">
        <v>13</v>
      </c>
      <c r="B114" s="35" t="s">
        <v>223</v>
      </c>
      <c r="C114" s="189">
        <v>9.3948</v>
      </c>
    </row>
    <row r="115" spans="1:3">
      <c r="A115" s="557">
        <v>14</v>
      </c>
      <c r="B115" s="35" t="s">
        <v>224</v>
      </c>
      <c r="C115" s="189">
        <v>9.3948</v>
      </c>
    </row>
    <row r="116" spans="1:3">
      <c r="A116" s="557">
        <v>15</v>
      </c>
      <c r="B116" s="35" t="s">
        <v>225</v>
      </c>
      <c r="C116" s="189">
        <v>9.3948</v>
      </c>
    </row>
    <row r="117" spans="1:3">
      <c r="A117" s="557">
        <v>16</v>
      </c>
      <c r="B117" s="35" t="s">
        <v>328</v>
      </c>
      <c r="C117" s="189">
        <v>9.3948</v>
      </c>
    </row>
    <row r="118" spans="1:3">
      <c r="A118" s="557">
        <v>17</v>
      </c>
      <c r="B118" s="35" t="s">
        <v>2</v>
      </c>
      <c r="C118" s="189">
        <v>9.3948</v>
      </c>
    </row>
    <row r="119" spans="1:3">
      <c r="A119" s="453"/>
      <c r="B119" s="673" t="s">
        <v>143</v>
      </c>
      <c r="C119" s="331">
        <f>SUM(C102:C118)</f>
        <v>159.71160000000003</v>
      </c>
    </row>
  </sheetData>
  <mergeCells count="15">
    <mergeCell ref="B6:E6"/>
    <mergeCell ref="A38:C38"/>
    <mergeCell ref="A9:C9"/>
    <mergeCell ref="E9:F9"/>
    <mergeCell ref="A11:C11"/>
    <mergeCell ref="A17:A18"/>
    <mergeCell ref="B17:B18"/>
    <mergeCell ref="A15:E15"/>
    <mergeCell ref="B7:E7"/>
    <mergeCell ref="A88:E88"/>
    <mergeCell ref="A99:C99"/>
    <mergeCell ref="B43:B44"/>
    <mergeCell ref="A41:E41"/>
    <mergeCell ref="A43:A44"/>
    <mergeCell ref="A64:E64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23"/>
  <sheetViews>
    <sheetView view="pageBreakPreview" zoomScale="110" zoomScaleSheetLayoutView="110" workbookViewId="0">
      <selection activeCell="R15" sqref="R15"/>
    </sheetView>
  </sheetViews>
  <sheetFormatPr defaultRowHeight="12.75"/>
  <sheetData>
    <row r="1" spans="1:9">
      <c r="F1" s="338"/>
      <c r="G1" s="338"/>
      <c r="H1" s="338"/>
      <c r="I1" s="338" t="s">
        <v>1227</v>
      </c>
    </row>
    <row r="2" spans="1:9">
      <c r="F2" s="338"/>
      <c r="G2" s="338"/>
      <c r="H2" s="338"/>
      <c r="I2" s="338" t="s">
        <v>141</v>
      </c>
    </row>
    <row r="3" spans="1:9">
      <c r="F3" s="338"/>
      <c r="G3" s="338"/>
      <c r="H3" s="338"/>
      <c r="I3" s="338" t="s">
        <v>240</v>
      </c>
    </row>
    <row r="4" spans="1:9">
      <c r="F4" s="458"/>
      <c r="G4" s="458"/>
      <c r="H4" s="458"/>
      <c r="I4" s="458" t="s">
        <v>104</v>
      </c>
    </row>
    <row r="5" spans="1:9">
      <c r="F5" s="458"/>
      <c r="G5" s="458"/>
      <c r="H5" s="458"/>
      <c r="I5" s="458" t="s">
        <v>241</v>
      </c>
    </row>
    <row r="6" spans="1:9">
      <c r="F6" s="458"/>
      <c r="G6" s="458"/>
      <c r="H6" s="458"/>
      <c r="I6" s="763" t="s">
        <v>1187</v>
      </c>
    </row>
    <row r="7" spans="1:9" ht="12.75" customHeight="1">
      <c r="F7" s="883" t="s">
        <v>1186</v>
      </c>
      <c r="G7" s="883"/>
      <c r="H7" s="883"/>
      <c r="I7" s="883"/>
    </row>
    <row r="9" spans="1:9" ht="38.25" customHeight="1">
      <c r="A9" s="883" t="s">
        <v>1182</v>
      </c>
      <c r="B9" s="883"/>
      <c r="C9" s="883"/>
      <c r="D9" s="883"/>
      <c r="E9" s="883"/>
      <c r="F9" s="883"/>
      <c r="G9" s="883"/>
      <c r="H9" s="883"/>
      <c r="I9" s="883"/>
    </row>
    <row r="10" spans="1:9" ht="38.25" customHeight="1">
      <c r="A10" s="316"/>
      <c r="B10" s="316"/>
      <c r="C10" s="316"/>
      <c r="D10" s="316"/>
      <c r="E10" s="316"/>
      <c r="F10" s="316"/>
      <c r="G10" s="316"/>
      <c r="H10" s="316"/>
      <c r="I10" s="316"/>
    </row>
    <row r="11" spans="1:9" ht="38.25" customHeight="1">
      <c r="A11" s="883" t="s">
        <v>1185</v>
      </c>
      <c r="B11" s="883"/>
      <c r="C11" s="883"/>
      <c r="D11" s="883"/>
      <c r="E11" s="883"/>
      <c r="F11" s="883"/>
      <c r="G11" s="883"/>
      <c r="H11" s="883"/>
      <c r="I11" s="316"/>
    </row>
    <row r="12" spans="1:9">
      <c r="A12" s="4"/>
      <c r="B12" s="4"/>
      <c r="C12" s="4"/>
      <c r="D12" s="4"/>
      <c r="E12" s="4"/>
      <c r="F12" s="4"/>
      <c r="G12" s="4"/>
      <c r="H12" s="4"/>
      <c r="I12" s="4"/>
    </row>
    <row r="13" spans="1:9" ht="191.25">
      <c r="A13" s="453" t="s">
        <v>277</v>
      </c>
      <c r="B13" s="454" t="s">
        <v>472</v>
      </c>
      <c r="C13" s="454" t="s">
        <v>473</v>
      </c>
      <c r="D13" s="454" t="s">
        <v>474</v>
      </c>
      <c r="E13" s="454" t="s">
        <v>475</v>
      </c>
      <c r="F13" s="454" t="s">
        <v>476</v>
      </c>
      <c r="G13" s="454" t="s">
        <v>477</v>
      </c>
      <c r="H13" s="454" t="s">
        <v>478</v>
      </c>
      <c r="I13" s="4"/>
    </row>
    <row r="14" spans="1:9">
      <c r="A14" s="456">
        <v>1</v>
      </c>
      <c r="B14" s="456">
        <v>2</v>
      </c>
      <c r="C14" s="456">
        <v>3</v>
      </c>
      <c r="D14" s="456">
        <v>4</v>
      </c>
      <c r="E14" s="456">
        <v>5</v>
      </c>
      <c r="F14" s="456">
        <v>6</v>
      </c>
      <c r="G14" s="456">
        <v>7</v>
      </c>
      <c r="H14" s="456">
        <v>8</v>
      </c>
      <c r="I14" s="4"/>
    </row>
    <row r="15" spans="1:9">
      <c r="A15" s="379" t="s">
        <v>482</v>
      </c>
      <c r="B15" s="379" t="s">
        <v>482</v>
      </c>
      <c r="C15" s="379" t="s">
        <v>482</v>
      </c>
      <c r="D15" s="379" t="s">
        <v>482</v>
      </c>
      <c r="E15" s="379" t="s">
        <v>482</v>
      </c>
      <c r="F15" s="379" t="s">
        <v>482</v>
      </c>
      <c r="G15" s="379" t="s">
        <v>482</v>
      </c>
      <c r="H15" s="379" t="s">
        <v>482</v>
      </c>
      <c r="I15" s="4"/>
    </row>
    <row r="16" spans="1:9">
      <c r="A16" s="453" t="s">
        <v>448</v>
      </c>
      <c r="B16" s="379" t="s">
        <v>482</v>
      </c>
      <c r="C16" s="379" t="s">
        <v>482</v>
      </c>
      <c r="D16" s="379" t="s">
        <v>482</v>
      </c>
      <c r="E16" s="379" t="s">
        <v>482</v>
      </c>
      <c r="F16" s="379" t="s">
        <v>482</v>
      </c>
      <c r="G16" s="379" t="s">
        <v>482</v>
      </c>
      <c r="H16" s="379" t="s">
        <v>482</v>
      </c>
      <c r="I16" s="4"/>
    </row>
    <row r="17" spans="1:9">
      <c r="A17" s="4"/>
      <c r="B17" s="4"/>
      <c r="C17" s="4"/>
      <c r="D17" s="4"/>
      <c r="E17" s="4"/>
      <c r="F17" s="4"/>
      <c r="G17" s="4"/>
      <c r="H17" s="4"/>
      <c r="I17" s="4"/>
    </row>
    <row r="19" spans="1:9" ht="41.25" customHeight="1">
      <c r="A19" s="884" t="s">
        <v>1183</v>
      </c>
      <c r="B19" s="884"/>
      <c r="C19" s="884"/>
      <c r="D19" s="884"/>
      <c r="E19" s="884"/>
      <c r="F19" s="884"/>
      <c r="G19" s="884"/>
      <c r="H19" s="884"/>
    </row>
    <row r="20" spans="1:9" ht="51.75" customHeight="1">
      <c r="B20" s="885" t="s">
        <v>479</v>
      </c>
      <c r="C20" s="886"/>
      <c r="D20" s="887"/>
      <c r="E20" s="885" t="s">
        <v>1184</v>
      </c>
      <c r="F20" s="886"/>
      <c r="G20" s="886"/>
      <c r="H20" s="887"/>
    </row>
    <row r="21" spans="1:9" ht="42.75" customHeight="1">
      <c r="B21" s="885" t="s">
        <v>480</v>
      </c>
      <c r="C21" s="886"/>
      <c r="D21" s="887"/>
      <c r="E21" s="888" t="s">
        <v>482</v>
      </c>
      <c r="F21" s="889"/>
      <c r="G21" s="889"/>
      <c r="H21" s="890"/>
    </row>
    <row r="22" spans="1:9">
      <c r="B22" s="885" t="s">
        <v>481</v>
      </c>
      <c r="C22" s="886"/>
      <c r="D22" s="887"/>
      <c r="E22" s="888" t="s">
        <v>482</v>
      </c>
      <c r="F22" s="889"/>
      <c r="G22" s="889"/>
      <c r="H22" s="890"/>
    </row>
    <row r="23" spans="1:9">
      <c r="B23" s="888" t="s">
        <v>470</v>
      </c>
      <c r="C23" s="889"/>
      <c r="D23" s="890"/>
      <c r="E23" s="888" t="s">
        <v>482</v>
      </c>
      <c r="F23" s="889"/>
      <c r="G23" s="889"/>
      <c r="H23" s="890"/>
    </row>
  </sheetData>
  <mergeCells count="12">
    <mergeCell ref="B21:D21"/>
    <mergeCell ref="B22:D22"/>
    <mergeCell ref="B23:D23"/>
    <mergeCell ref="E21:H21"/>
    <mergeCell ref="E22:H22"/>
    <mergeCell ref="E23:H23"/>
    <mergeCell ref="F7:I7"/>
    <mergeCell ref="A9:I9"/>
    <mergeCell ref="A11:H11"/>
    <mergeCell ref="A19:H19"/>
    <mergeCell ref="B20:D20"/>
    <mergeCell ref="E20:H20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4"/>
  <sheetViews>
    <sheetView view="pageBreakPreview" topLeftCell="A7" zoomScale="110" zoomScaleSheetLayoutView="110" workbookViewId="0">
      <selection activeCell="A14" sqref="A14:H14"/>
    </sheetView>
  </sheetViews>
  <sheetFormatPr defaultRowHeight="12.75"/>
  <cols>
    <col min="1" max="16384" width="9.140625" style="4"/>
  </cols>
  <sheetData>
    <row r="1" spans="1:9">
      <c r="F1" s="338"/>
      <c r="G1" s="338"/>
      <c r="H1" s="338"/>
      <c r="I1" s="338" t="s">
        <v>1228</v>
      </c>
    </row>
    <row r="2" spans="1:9">
      <c r="F2" s="338"/>
      <c r="G2" s="338"/>
      <c r="H2" s="338"/>
      <c r="I2" s="338" t="s">
        <v>141</v>
      </c>
    </row>
    <row r="3" spans="1:9">
      <c r="F3" s="338"/>
      <c r="G3" s="338"/>
      <c r="H3" s="338"/>
      <c r="I3" s="338" t="s">
        <v>240</v>
      </c>
    </row>
    <row r="4" spans="1:9">
      <c r="F4" s="455"/>
      <c r="G4" s="455"/>
      <c r="H4" s="455"/>
      <c r="I4" s="455" t="s">
        <v>104</v>
      </c>
    </row>
    <row r="5" spans="1:9">
      <c r="F5" s="455"/>
      <c r="G5" s="455"/>
      <c r="H5" s="455"/>
      <c r="I5" s="455" t="s">
        <v>241</v>
      </c>
    </row>
    <row r="6" spans="1:9">
      <c r="F6" s="455"/>
      <c r="G6" s="455"/>
      <c r="H6" s="455"/>
      <c r="I6" s="763" t="s">
        <v>1187</v>
      </c>
    </row>
    <row r="7" spans="1:9">
      <c r="F7" s="868" t="s">
        <v>1188</v>
      </c>
      <c r="G7" s="868"/>
      <c r="H7" s="868"/>
      <c r="I7" s="868"/>
    </row>
    <row r="9" spans="1:9" ht="24" customHeight="1">
      <c r="A9" s="883" t="s">
        <v>1189</v>
      </c>
      <c r="B9" s="883"/>
      <c r="C9" s="883"/>
      <c r="D9" s="883"/>
      <c r="E9" s="883"/>
      <c r="F9" s="883"/>
      <c r="G9" s="883"/>
      <c r="H9" s="883"/>
      <c r="I9" s="883"/>
    </row>
    <row r="10" spans="1:9">
      <c r="A10" s="316"/>
      <c r="B10" s="316"/>
      <c r="C10" s="316"/>
      <c r="D10" s="316"/>
      <c r="E10" s="316"/>
      <c r="F10" s="316"/>
      <c r="G10" s="316"/>
      <c r="H10" s="316"/>
      <c r="I10" s="316"/>
    </row>
    <row r="11" spans="1:9" ht="30" customHeight="1">
      <c r="A11" s="883" t="s">
        <v>1190</v>
      </c>
      <c r="B11" s="883"/>
      <c r="C11" s="883"/>
      <c r="D11" s="883"/>
      <c r="E11" s="883"/>
      <c r="F11" s="883"/>
      <c r="G11" s="883"/>
      <c r="H11" s="883"/>
      <c r="I11" s="316"/>
    </row>
    <row r="13" spans="1:9" ht="191.25">
      <c r="A13" s="453" t="s">
        <v>277</v>
      </c>
      <c r="B13" s="454" t="s">
        <v>472</v>
      </c>
      <c r="C13" s="454" t="s">
        <v>473</v>
      </c>
      <c r="D13" s="454" t="s">
        <v>474</v>
      </c>
      <c r="E13" s="454" t="s">
        <v>475</v>
      </c>
      <c r="F13" s="454" t="s">
        <v>476</v>
      </c>
      <c r="G13" s="454" t="s">
        <v>477</v>
      </c>
      <c r="H13" s="454" t="s">
        <v>478</v>
      </c>
    </row>
    <row r="14" spans="1:9">
      <c r="A14" s="784">
        <v>1</v>
      </c>
      <c r="B14" s="784">
        <v>2</v>
      </c>
      <c r="C14" s="784">
        <v>3</v>
      </c>
      <c r="D14" s="784">
        <v>4</v>
      </c>
      <c r="E14" s="784">
        <v>5</v>
      </c>
      <c r="F14" s="784">
        <v>6</v>
      </c>
      <c r="G14" s="784">
        <v>7</v>
      </c>
      <c r="H14" s="784">
        <v>8</v>
      </c>
    </row>
    <row r="15" spans="1:9">
      <c r="A15" s="379" t="s">
        <v>482</v>
      </c>
      <c r="B15" s="379" t="s">
        <v>482</v>
      </c>
      <c r="C15" s="379" t="s">
        <v>482</v>
      </c>
      <c r="D15" s="379" t="s">
        <v>482</v>
      </c>
      <c r="E15" s="379" t="s">
        <v>482</v>
      </c>
      <c r="F15" s="379" t="s">
        <v>482</v>
      </c>
      <c r="G15" s="379" t="s">
        <v>482</v>
      </c>
      <c r="H15" s="379" t="s">
        <v>482</v>
      </c>
    </row>
    <row r="16" spans="1:9">
      <c r="A16" s="453" t="s">
        <v>448</v>
      </c>
      <c r="B16" s="379" t="s">
        <v>482</v>
      </c>
      <c r="C16" s="379" t="s">
        <v>482</v>
      </c>
      <c r="D16" s="379" t="s">
        <v>482</v>
      </c>
      <c r="E16" s="379" t="s">
        <v>482</v>
      </c>
      <c r="F16" s="379" t="s">
        <v>482</v>
      </c>
      <c r="G16" s="379" t="s">
        <v>482</v>
      </c>
      <c r="H16" s="379" t="s">
        <v>482</v>
      </c>
    </row>
    <row r="19" spans="1:8" ht="45" customHeight="1">
      <c r="A19" s="866" t="s">
        <v>1191</v>
      </c>
      <c r="B19" s="866"/>
      <c r="C19" s="866"/>
      <c r="D19" s="866"/>
      <c r="E19" s="866"/>
      <c r="F19" s="866"/>
      <c r="G19" s="866"/>
      <c r="H19" s="866"/>
    </row>
    <row r="20" spans="1:8" ht="13.5" customHeight="1">
      <c r="A20" s="316"/>
      <c r="B20" s="316"/>
      <c r="C20" s="316"/>
      <c r="D20" s="316"/>
      <c r="E20" s="316"/>
      <c r="F20" s="316"/>
      <c r="G20" s="316"/>
      <c r="H20" s="316"/>
    </row>
    <row r="21" spans="1:8" ht="59.25" customHeight="1">
      <c r="B21" s="891" t="s">
        <v>479</v>
      </c>
      <c r="C21" s="892"/>
      <c r="D21" s="893"/>
      <c r="E21" s="891" t="s">
        <v>1192</v>
      </c>
      <c r="F21" s="892"/>
      <c r="G21" s="892"/>
      <c r="H21" s="893"/>
    </row>
    <row r="22" spans="1:8">
      <c r="B22" s="891" t="s">
        <v>480</v>
      </c>
      <c r="C22" s="892"/>
      <c r="D22" s="893"/>
      <c r="E22" s="894" t="s">
        <v>482</v>
      </c>
      <c r="F22" s="895"/>
      <c r="G22" s="895"/>
      <c r="H22" s="896"/>
    </row>
    <row r="23" spans="1:8">
      <c r="B23" s="891" t="s">
        <v>481</v>
      </c>
      <c r="C23" s="892"/>
      <c r="D23" s="893"/>
      <c r="E23" s="894" t="s">
        <v>482</v>
      </c>
      <c r="F23" s="895"/>
      <c r="G23" s="895"/>
      <c r="H23" s="896"/>
    </row>
    <row r="24" spans="1:8">
      <c r="B24" s="894" t="s">
        <v>470</v>
      </c>
      <c r="C24" s="895"/>
      <c r="D24" s="896"/>
      <c r="E24" s="894" t="s">
        <v>482</v>
      </c>
      <c r="F24" s="895"/>
      <c r="G24" s="895"/>
      <c r="H24" s="896"/>
    </row>
  </sheetData>
  <mergeCells count="12">
    <mergeCell ref="F7:I7"/>
    <mergeCell ref="A9:I9"/>
    <mergeCell ref="A11:H11"/>
    <mergeCell ref="A19:H19"/>
    <mergeCell ref="B21:D21"/>
    <mergeCell ref="E21:H21"/>
    <mergeCell ref="B22:D22"/>
    <mergeCell ref="E22:H22"/>
    <mergeCell ref="B23:D23"/>
    <mergeCell ref="E23:H23"/>
    <mergeCell ref="B24:D24"/>
    <mergeCell ref="E24:H2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E65"/>
  <sheetViews>
    <sheetView view="pageBreakPreview" zoomScale="110" zoomScaleSheetLayoutView="110" workbookViewId="0">
      <selection activeCell="D11" sqref="D11"/>
    </sheetView>
  </sheetViews>
  <sheetFormatPr defaultRowHeight="12"/>
  <cols>
    <col min="1" max="1" width="5.7109375" style="220" bestFit="1" customWidth="1"/>
    <col min="2" max="2" width="21.7109375" style="232" bestFit="1" customWidth="1"/>
    <col min="3" max="3" width="57.42578125" style="223" customWidth="1"/>
    <col min="4" max="4" width="12" style="220" bestFit="1" customWidth="1"/>
    <col min="5" max="5" width="12" style="221" bestFit="1" customWidth="1"/>
    <col min="6" max="16384" width="9.140625" style="220"/>
  </cols>
  <sheetData>
    <row r="1" spans="1:5" ht="12.75">
      <c r="B1" s="223"/>
      <c r="C1" s="832" t="s">
        <v>278</v>
      </c>
      <c r="D1" s="832"/>
      <c r="E1" s="832"/>
    </row>
    <row r="2" spans="1:5" ht="12.75">
      <c r="B2" s="223"/>
      <c r="C2" s="832" t="s">
        <v>141</v>
      </c>
      <c r="D2" s="832"/>
      <c r="E2" s="832"/>
    </row>
    <row r="3" spans="1:5" ht="12.75">
      <c r="B3" s="223"/>
      <c r="C3" s="832" t="s">
        <v>240</v>
      </c>
      <c r="D3" s="832"/>
      <c r="E3" s="832"/>
    </row>
    <row r="4" spans="1:5" ht="13.5" customHeight="1">
      <c r="B4" s="223"/>
      <c r="C4" s="832" t="s">
        <v>361</v>
      </c>
      <c r="D4" s="832"/>
      <c r="E4" s="832"/>
    </row>
    <row r="5" spans="1:5" ht="12.75">
      <c r="B5" s="223"/>
      <c r="C5" s="832" t="s">
        <v>1195</v>
      </c>
      <c r="D5" s="832"/>
      <c r="E5" s="832"/>
    </row>
    <row r="6" spans="1:5" ht="12.75">
      <c r="B6" s="223"/>
      <c r="C6" s="832" t="s">
        <v>1198</v>
      </c>
      <c r="D6" s="832"/>
      <c r="E6" s="832"/>
    </row>
    <row r="7" spans="1:5">
      <c r="B7" s="223"/>
    </row>
    <row r="8" spans="1:5" ht="12" customHeight="1">
      <c r="A8" s="833" t="s">
        <v>1164</v>
      </c>
      <c r="B8" s="833"/>
      <c r="C8" s="833"/>
      <c r="D8" s="833"/>
      <c r="E8" s="833"/>
    </row>
    <row r="9" spans="1:5">
      <c r="B9" s="223"/>
      <c r="E9" s="439" t="s">
        <v>105</v>
      </c>
    </row>
    <row r="10" spans="1:5" ht="27.75" customHeight="1">
      <c r="A10" s="750" t="s">
        <v>277</v>
      </c>
      <c r="B10" s="750" t="s">
        <v>74</v>
      </c>
      <c r="C10" s="750" t="s">
        <v>146</v>
      </c>
      <c r="D10" s="750" t="s">
        <v>935</v>
      </c>
      <c r="E10" s="750" t="s">
        <v>1075</v>
      </c>
    </row>
    <row r="11" spans="1:5" s="225" customFormat="1" ht="12" customHeight="1">
      <c r="A11" s="750"/>
      <c r="B11" s="830" t="s">
        <v>75</v>
      </c>
      <c r="C11" s="831"/>
      <c r="D11" s="430">
        <f>D12+D19+D24+D28+D30+D34+D39+D43+D63</f>
        <v>369200.05</v>
      </c>
      <c r="E11" s="430">
        <f>E12+E19+E24+E28+E30+E34+E39+E43+E63</f>
        <v>377125.37999999995</v>
      </c>
    </row>
    <row r="12" spans="1:5" s="225" customFormat="1">
      <c r="A12" s="750">
        <v>1</v>
      </c>
      <c r="B12" s="743" t="s">
        <v>76</v>
      </c>
      <c r="C12" s="229" t="s">
        <v>77</v>
      </c>
      <c r="D12" s="431">
        <f>D13</f>
        <v>316861.09999999998</v>
      </c>
      <c r="E12" s="431">
        <f>E13</f>
        <v>323840.29999999993</v>
      </c>
    </row>
    <row r="13" spans="1:5" ht="12" customHeight="1">
      <c r="A13" s="836"/>
      <c r="B13" s="359" t="s">
        <v>78</v>
      </c>
      <c r="C13" s="360" t="s">
        <v>79</v>
      </c>
      <c r="D13" s="427">
        <f>D14+D15+D16+D17+D18</f>
        <v>316861.09999999998</v>
      </c>
      <c r="E13" s="427">
        <f>E14+E15+E16+E17+E18</f>
        <v>323840.29999999993</v>
      </c>
    </row>
    <row r="14" spans="1:5" ht="48">
      <c r="A14" s="837"/>
      <c r="B14" s="359" t="s">
        <v>281</v>
      </c>
      <c r="C14" s="360" t="s">
        <v>804</v>
      </c>
      <c r="D14" s="361">
        <f>266434.1+48792.1</f>
        <v>315226.19999999995</v>
      </c>
      <c r="E14" s="361">
        <f>270164.2+52018.3</f>
        <v>322182.5</v>
      </c>
    </row>
    <row r="15" spans="1:5" s="225" customFormat="1" ht="72">
      <c r="A15" s="837"/>
      <c r="B15" s="359" t="s">
        <v>282</v>
      </c>
      <c r="C15" s="362" t="s">
        <v>242</v>
      </c>
      <c r="D15" s="361">
        <v>130.80000000000001</v>
      </c>
      <c r="E15" s="361">
        <v>132.6</v>
      </c>
    </row>
    <row r="16" spans="1:5" ht="27" customHeight="1">
      <c r="A16" s="837"/>
      <c r="B16" s="359" t="s">
        <v>283</v>
      </c>
      <c r="C16" s="360" t="s">
        <v>280</v>
      </c>
      <c r="D16" s="361">
        <v>1438.4</v>
      </c>
      <c r="E16" s="361">
        <v>1458.6</v>
      </c>
    </row>
    <row r="17" spans="1:5" ht="67.5" customHeight="1">
      <c r="A17" s="837"/>
      <c r="B17" s="359" t="s">
        <v>284</v>
      </c>
      <c r="C17" s="362" t="s">
        <v>11</v>
      </c>
      <c r="D17" s="361">
        <v>21.8</v>
      </c>
      <c r="E17" s="361">
        <v>22.1</v>
      </c>
    </row>
    <row r="18" spans="1:5" ht="36">
      <c r="A18" s="838"/>
      <c r="B18" s="359" t="s">
        <v>1065</v>
      </c>
      <c r="C18" s="362" t="s">
        <v>1064</v>
      </c>
      <c r="D18" s="361">
        <v>43.9</v>
      </c>
      <c r="E18" s="361">
        <v>44.5</v>
      </c>
    </row>
    <row r="19" spans="1:5" ht="24">
      <c r="A19" s="753">
        <v>2</v>
      </c>
      <c r="B19" s="364" t="s">
        <v>1015</v>
      </c>
      <c r="C19" s="365" t="s">
        <v>87</v>
      </c>
      <c r="D19" s="431">
        <f>SUM(D20:D23)</f>
        <v>17425.449999999997</v>
      </c>
      <c r="E19" s="431">
        <f>SUM(E20:E23)</f>
        <v>17875.68</v>
      </c>
    </row>
    <row r="20" spans="1:5" ht="48">
      <c r="A20" s="834"/>
      <c r="B20" s="754" t="s">
        <v>1016</v>
      </c>
      <c r="C20" s="367" t="s">
        <v>12</v>
      </c>
      <c r="D20" s="552">
        <v>9065.7199999999993</v>
      </c>
      <c r="E20" s="552">
        <v>9311.41</v>
      </c>
    </row>
    <row r="21" spans="1:5" s="225" customFormat="1" ht="60">
      <c r="A21" s="839"/>
      <c r="B21" s="754" t="s">
        <v>1017</v>
      </c>
      <c r="C21" s="367" t="s">
        <v>13</v>
      </c>
      <c r="D21" s="552">
        <v>47.63</v>
      </c>
      <c r="E21" s="552">
        <v>49.46</v>
      </c>
    </row>
    <row r="22" spans="1:5" ht="48">
      <c r="A22" s="839"/>
      <c r="B22" s="754" t="s">
        <v>1018</v>
      </c>
      <c r="C22" s="367" t="s">
        <v>14</v>
      </c>
      <c r="D22" s="552">
        <v>9439.0300000000007</v>
      </c>
      <c r="E22" s="552">
        <v>9697.86</v>
      </c>
    </row>
    <row r="23" spans="1:5" ht="48">
      <c r="A23" s="835"/>
      <c r="B23" s="754" t="s">
        <v>1019</v>
      </c>
      <c r="C23" s="367" t="s">
        <v>15</v>
      </c>
      <c r="D23" s="552">
        <v>-1126.93</v>
      </c>
      <c r="E23" s="552">
        <v>-1183.05</v>
      </c>
    </row>
    <row r="24" spans="1:5">
      <c r="A24" s="743">
        <v>3</v>
      </c>
      <c r="B24" s="743" t="s">
        <v>80</v>
      </c>
      <c r="C24" s="229" t="s">
        <v>243</v>
      </c>
      <c r="D24" s="431">
        <f>D26+D27+D25</f>
        <v>19900</v>
      </c>
      <c r="E24" s="431">
        <f t="shared" ref="E24" si="0">E26+E27+E25</f>
        <v>20050</v>
      </c>
    </row>
    <row r="25" spans="1:5">
      <c r="A25" s="840"/>
      <c r="B25" s="384" t="s">
        <v>399</v>
      </c>
      <c r="C25" s="360" t="s">
        <v>400</v>
      </c>
      <c r="D25" s="361">
        <v>15800</v>
      </c>
      <c r="E25" s="361">
        <v>15900</v>
      </c>
    </row>
    <row r="26" spans="1:5">
      <c r="A26" s="841"/>
      <c r="B26" s="385" t="s">
        <v>244</v>
      </c>
      <c r="C26" s="360" t="s">
        <v>16</v>
      </c>
      <c r="D26" s="361">
        <v>400</v>
      </c>
      <c r="E26" s="361">
        <v>400</v>
      </c>
    </row>
    <row r="27" spans="1:5" s="225" customFormat="1" ht="24">
      <c r="A27" s="842"/>
      <c r="B27" s="359" t="s">
        <v>29</v>
      </c>
      <c r="C27" s="371" t="s">
        <v>28</v>
      </c>
      <c r="D27" s="361">
        <v>3700</v>
      </c>
      <c r="E27" s="361">
        <v>3750</v>
      </c>
    </row>
    <row r="28" spans="1:5" ht="12" customHeight="1">
      <c r="A28" s="750">
        <v>4</v>
      </c>
      <c r="B28" s="743" t="s">
        <v>245</v>
      </c>
      <c r="C28" s="229" t="s">
        <v>246</v>
      </c>
      <c r="D28" s="431">
        <f>D29</f>
        <v>4765.8</v>
      </c>
      <c r="E28" s="431">
        <f>E29</f>
        <v>5111.7</v>
      </c>
    </row>
    <row r="29" spans="1:5" ht="36">
      <c r="A29" s="755"/>
      <c r="B29" s="359" t="s">
        <v>229</v>
      </c>
      <c r="C29" s="360" t="s">
        <v>17</v>
      </c>
      <c r="D29" s="361">
        <v>4765.8</v>
      </c>
      <c r="E29" s="361">
        <v>5111.7</v>
      </c>
    </row>
    <row r="30" spans="1:5" s="225" customFormat="1" ht="36">
      <c r="A30" s="750">
        <v>5</v>
      </c>
      <c r="B30" s="743" t="s">
        <v>247</v>
      </c>
      <c r="C30" s="229" t="s">
        <v>248</v>
      </c>
      <c r="D30" s="431">
        <f>D31+D32+D33</f>
        <v>5752.4</v>
      </c>
      <c r="E30" s="431">
        <f>E31+E32+E33</f>
        <v>5752.4</v>
      </c>
    </row>
    <row r="31" spans="1:5" ht="48">
      <c r="A31" s="836"/>
      <c r="B31" s="359" t="s">
        <v>415</v>
      </c>
      <c r="C31" s="228" t="s">
        <v>91</v>
      </c>
      <c r="D31" s="361">
        <v>4000</v>
      </c>
      <c r="E31" s="361">
        <v>4000</v>
      </c>
    </row>
    <row r="32" spans="1:5" ht="48" hidden="1" customHeight="1">
      <c r="A32" s="837"/>
      <c r="B32" s="359" t="s">
        <v>89</v>
      </c>
      <c r="C32" s="228" t="s">
        <v>90</v>
      </c>
      <c r="D32" s="361"/>
      <c r="E32" s="361"/>
    </row>
    <row r="33" spans="1:5" s="225" customFormat="1" ht="48">
      <c r="A33" s="838"/>
      <c r="B33" s="359" t="s">
        <v>249</v>
      </c>
      <c r="C33" s="228" t="s">
        <v>53</v>
      </c>
      <c r="D33" s="361">
        <v>1752.4</v>
      </c>
      <c r="E33" s="361">
        <v>1752.4</v>
      </c>
    </row>
    <row r="34" spans="1:5" s="225" customFormat="1">
      <c r="A34" s="750">
        <v>6</v>
      </c>
      <c r="B34" s="743" t="s">
        <v>211</v>
      </c>
      <c r="C34" s="229" t="s">
        <v>250</v>
      </c>
      <c r="D34" s="431">
        <f>D35+D36</f>
        <v>545.29999999999995</v>
      </c>
      <c r="E34" s="431">
        <f>E35+E36</f>
        <v>545.29999999999995</v>
      </c>
    </row>
    <row r="35" spans="1:5" s="225" customFormat="1" ht="24">
      <c r="A35" s="750"/>
      <c r="B35" s="359" t="s">
        <v>287</v>
      </c>
      <c r="C35" s="360" t="s">
        <v>285</v>
      </c>
      <c r="D35" s="361">
        <v>545.29999999999995</v>
      </c>
      <c r="E35" s="361">
        <v>545.29999999999995</v>
      </c>
    </row>
    <row r="36" spans="1:5" s="225" customFormat="1" hidden="1">
      <c r="A36" s="756"/>
      <c r="B36" s="359" t="s">
        <v>288</v>
      </c>
      <c r="C36" s="332" t="s">
        <v>286</v>
      </c>
      <c r="D36" s="372"/>
      <c r="E36" s="372"/>
    </row>
    <row r="37" spans="1:5" ht="55.5" hidden="1" customHeight="1">
      <c r="A37" s="750">
        <v>7</v>
      </c>
      <c r="B37" s="743" t="s">
        <v>251</v>
      </c>
      <c r="C37" s="229" t="s">
        <v>252</v>
      </c>
      <c r="D37" s="431">
        <v>0</v>
      </c>
      <c r="E37" s="431">
        <v>0</v>
      </c>
    </row>
    <row r="38" spans="1:5" ht="39" hidden="1" customHeight="1">
      <c r="A38" s="755"/>
      <c r="B38" s="359" t="s">
        <v>253</v>
      </c>
      <c r="C38" s="360" t="s">
        <v>115</v>
      </c>
      <c r="D38" s="427"/>
      <c r="E38" s="427"/>
    </row>
    <row r="39" spans="1:5" s="225" customFormat="1" ht="24">
      <c r="A39" s="750">
        <v>7</v>
      </c>
      <c r="B39" s="743" t="s">
        <v>254</v>
      </c>
      <c r="C39" s="229" t="s">
        <v>255</v>
      </c>
      <c r="D39" s="431">
        <f>D40+D41+D42</f>
        <v>450</v>
      </c>
      <c r="E39" s="431">
        <f>E40+E41+E42</f>
        <v>450</v>
      </c>
    </row>
    <row r="40" spans="1:5" ht="24" hidden="1" customHeight="1">
      <c r="A40" s="750"/>
      <c r="B40" s="359" t="s">
        <v>289</v>
      </c>
      <c r="C40" s="360" t="s">
        <v>256</v>
      </c>
      <c r="D40" s="361"/>
      <c r="E40" s="361"/>
    </row>
    <row r="41" spans="1:5" ht="36" customHeight="1">
      <c r="A41" s="757"/>
      <c r="B41" s="359" t="s">
        <v>94</v>
      </c>
      <c r="C41" s="228" t="s">
        <v>92</v>
      </c>
      <c r="D41" s="361">
        <v>450</v>
      </c>
      <c r="E41" s="361">
        <v>450</v>
      </c>
    </row>
    <row r="42" spans="1:5" s="225" customFormat="1" ht="36" hidden="1">
      <c r="A42" s="757"/>
      <c r="B42" s="359" t="s">
        <v>94</v>
      </c>
      <c r="C42" s="228" t="s">
        <v>93</v>
      </c>
      <c r="D42" s="361"/>
      <c r="E42" s="361"/>
    </row>
    <row r="43" spans="1:5" s="225" customFormat="1">
      <c r="A43" s="758">
        <v>8</v>
      </c>
      <c r="B43" s="743" t="s">
        <v>257</v>
      </c>
      <c r="C43" s="229" t="s">
        <v>258</v>
      </c>
      <c r="D43" s="431">
        <f>SUM(D44:D62)</f>
        <v>2300</v>
      </c>
      <c r="E43" s="431">
        <f>SUM(E44:E62)</f>
        <v>2300</v>
      </c>
    </row>
    <row r="44" spans="1:5" ht="48">
      <c r="A44" s="834"/>
      <c r="B44" s="642" t="s">
        <v>913</v>
      </c>
      <c r="C44" s="704" t="s">
        <v>700</v>
      </c>
      <c r="D44" s="751">
        <v>21</v>
      </c>
      <c r="E44" s="751">
        <v>21</v>
      </c>
    </row>
    <row r="45" spans="1:5" ht="48">
      <c r="A45" s="839"/>
      <c r="B45" s="642" t="s">
        <v>914</v>
      </c>
      <c r="C45" s="704" t="s">
        <v>700</v>
      </c>
      <c r="D45" s="751">
        <v>48.7</v>
      </c>
      <c r="E45" s="751">
        <v>48.7</v>
      </c>
    </row>
    <row r="46" spans="1:5" ht="72">
      <c r="A46" s="839"/>
      <c r="B46" s="643" t="s">
        <v>915</v>
      </c>
      <c r="C46" s="702" t="s">
        <v>695</v>
      </c>
      <c r="D46" s="751">
        <v>6</v>
      </c>
      <c r="E46" s="751">
        <v>6</v>
      </c>
    </row>
    <row r="47" spans="1:5" ht="72">
      <c r="A47" s="839"/>
      <c r="B47" s="643" t="s">
        <v>916</v>
      </c>
      <c r="C47" s="702" t="s">
        <v>695</v>
      </c>
      <c r="D47" s="751">
        <v>175.79999999999998</v>
      </c>
      <c r="E47" s="751">
        <v>175.79999999999998</v>
      </c>
    </row>
    <row r="48" spans="1:5" ht="48">
      <c r="A48" s="839"/>
      <c r="B48" s="644" t="s">
        <v>917</v>
      </c>
      <c r="C48" s="703" t="s">
        <v>696</v>
      </c>
      <c r="D48" s="751">
        <v>88.800000000000011</v>
      </c>
      <c r="E48" s="751">
        <v>88.800000000000011</v>
      </c>
    </row>
    <row r="49" spans="1:5" ht="84">
      <c r="A49" s="839"/>
      <c r="B49" s="642" t="s">
        <v>918</v>
      </c>
      <c r="C49" s="704" t="s">
        <v>697</v>
      </c>
      <c r="D49" s="751">
        <v>94</v>
      </c>
      <c r="E49" s="751">
        <v>94</v>
      </c>
    </row>
    <row r="50" spans="1:5" ht="60">
      <c r="A50" s="839"/>
      <c r="B50" s="642" t="s">
        <v>919</v>
      </c>
      <c r="C50" s="704" t="s">
        <v>899</v>
      </c>
      <c r="D50" s="751">
        <v>7.7</v>
      </c>
      <c r="E50" s="751">
        <v>7.7</v>
      </c>
    </row>
    <row r="51" spans="1:5" ht="96">
      <c r="A51" s="839"/>
      <c r="B51" s="643" t="s">
        <v>920</v>
      </c>
      <c r="C51" s="704" t="s">
        <v>701</v>
      </c>
      <c r="D51" s="751">
        <v>4.2</v>
      </c>
      <c r="E51" s="751">
        <v>4.2</v>
      </c>
    </row>
    <row r="52" spans="1:5" ht="60">
      <c r="A52" s="839"/>
      <c r="B52" s="643" t="s">
        <v>921</v>
      </c>
      <c r="C52" s="704" t="s">
        <v>900</v>
      </c>
      <c r="D52" s="751">
        <v>581.1</v>
      </c>
      <c r="E52" s="751">
        <v>581.1</v>
      </c>
    </row>
    <row r="53" spans="1:5" ht="29.25" customHeight="1">
      <c r="A53" s="839"/>
      <c r="B53" s="642" t="s">
        <v>922</v>
      </c>
      <c r="C53" s="704" t="s">
        <v>698</v>
      </c>
      <c r="D53" s="751">
        <v>10.5</v>
      </c>
      <c r="E53" s="751">
        <v>10.5</v>
      </c>
    </row>
    <row r="54" spans="1:5" ht="51" customHeight="1">
      <c r="A54" s="839"/>
      <c r="B54" s="643" t="s">
        <v>1166</v>
      </c>
      <c r="C54" s="704" t="s">
        <v>702</v>
      </c>
      <c r="D54" s="751">
        <v>3.3</v>
      </c>
      <c r="E54" s="751">
        <v>3.3</v>
      </c>
    </row>
    <row r="55" spans="1:5" ht="53.25" customHeight="1">
      <c r="A55" s="839"/>
      <c r="B55" s="643" t="s">
        <v>923</v>
      </c>
      <c r="C55" s="704" t="s">
        <v>702</v>
      </c>
      <c r="D55" s="751">
        <v>92.3</v>
      </c>
      <c r="E55" s="751">
        <v>92.3</v>
      </c>
    </row>
    <row r="56" spans="1:5" ht="48">
      <c r="A56" s="839"/>
      <c r="B56" s="642" t="s">
        <v>924</v>
      </c>
      <c r="C56" s="704" t="s">
        <v>699</v>
      </c>
      <c r="D56" s="751">
        <v>20.6</v>
      </c>
      <c r="E56" s="751">
        <v>20.6</v>
      </c>
    </row>
    <row r="57" spans="1:5" ht="48">
      <c r="A57" s="839"/>
      <c r="B57" s="642" t="s">
        <v>925</v>
      </c>
      <c r="C57" s="704" t="s">
        <v>699</v>
      </c>
      <c r="D57" s="751">
        <v>468.90000000000003</v>
      </c>
      <c r="E57" s="751">
        <v>468.90000000000003</v>
      </c>
    </row>
    <row r="58" spans="1:5" ht="51">
      <c r="A58" s="839"/>
      <c r="B58" s="642" t="s">
        <v>926</v>
      </c>
      <c r="C58" s="759" t="s">
        <v>782</v>
      </c>
      <c r="D58" s="751">
        <v>106.1</v>
      </c>
      <c r="E58" s="751">
        <v>106.1</v>
      </c>
    </row>
    <row r="59" spans="1:5" ht="48">
      <c r="A59" s="839"/>
      <c r="B59" s="642" t="s">
        <v>927</v>
      </c>
      <c r="C59" s="702" t="s">
        <v>765</v>
      </c>
      <c r="D59" s="751">
        <v>1.4</v>
      </c>
      <c r="E59" s="751">
        <v>1.4</v>
      </c>
    </row>
    <row r="60" spans="1:5" ht="48">
      <c r="A60" s="839"/>
      <c r="B60" s="642" t="s">
        <v>928</v>
      </c>
      <c r="C60" s="702" t="s">
        <v>765</v>
      </c>
      <c r="D60" s="751">
        <v>87.9</v>
      </c>
      <c r="E60" s="751">
        <v>87.9</v>
      </c>
    </row>
    <row r="61" spans="1:5" ht="48">
      <c r="A61" s="839"/>
      <c r="B61" s="642" t="s">
        <v>929</v>
      </c>
      <c r="C61" s="702" t="s">
        <v>765</v>
      </c>
      <c r="D61" s="751">
        <v>2.7</v>
      </c>
      <c r="E61" s="751">
        <v>2.7</v>
      </c>
    </row>
    <row r="62" spans="1:5" ht="48">
      <c r="A62" s="835"/>
      <c r="B62" s="642" t="s">
        <v>930</v>
      </c>
      <c r="C62" s="760" t="s">
        <v>766</v>
      </c>
      <c r="D62" s="752">
        <v>479</v>
      </c>
      <c r="E62" s="752">
        <v>479</v>
      </c>
    </row>
    <row r="63" spans="1:5">
      <c r="A63" s="756">
        <v>9</v>
      </c>
      <c r="B63" s="549" t="s">
        <v>259</v>
      </c>
      <c r="C63" s="229" t="s">
        <v>260</v>
      </c>
      <c r="D63" s="430">
        <f>D64+D65</f>
        <v>1200</v>
      </c>
      <c r="E63" s="430">
        <f>E64+E65</f>
        <v>1200</v>
      </c>
    </row>
    <row r="64" spans="1:5">
      <c r="A64" s="834"/>
      <c r="B64" s="550" t="s">
        <v>261</v>
      </c>
      <c r="C64" s="360" t="s">
        <v>116</v>
      </c>
      <c r="D64" s="361">
        <v>331.9</v>
      </c>
      <c r="E64" s="361">
        <v>331.9</v>
      </c>
    </row>
    <row r="65" spans="1:5">
      <c r="A65" s="835"/>
      <c r="B65" s="550" t="s">
        <v>1054</v>
      </c>
      <c r="C65" s="360" t="s">
        <v>116</v>
      </c>
      <c r="D65" s="761">
        <v>868.1</v>
      </c>
      <c r="E65" s="761">
        <v>868.1</v>
      </c>
    </row>
  </sheetData>
  <mergeCells count="14">
    <mergeCell ref="A64:A65"/>
    <mergeCell ref="A13:A18"/>
    <mergeCell ref="A20:A23"/>
    <mergeCell ref="A25:A27"/>
    <mergeCell ref="A31:A33"/>
    <mergeCell ref="A44:A62"/>
    <mergeCell ref="B11:C11"/>
    <mergeCell ref="C1:E1"/>
    <mergeCell ref="C2:E2"/>
    <mergeCell ref="C3:E3"/>
    <mergeCell ref="C4:E4"/>
    <mergeCell ref="C5:E5"/>
    <mergeCell ref="C6:E6"/>
    <mergeCell ref="A8:E8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M153"/>
  <sheetViews>
    <sheetView view="pageBreakPreview" topLeftCell="A24" zoomScale="80" zoomScaleSheetLayoutView="80" workbookViewId="0">
      <selection activeCell="K37" sqref="K37"/>
    </sheetView>
  </sheetViews>
  <sheetFormatPr defaultRowHeight="15.75"/>
  <cols>
    <col min="1" max="1" width="7.42578125" style="125" customWidth="1"/>
    <col min="2" max="2" width="25.140625" style="125" customWidth="1"/>
    <col min="3" max="3" width="87.85546875" style="125" customWidth="1"/>
    <col min="4" max="6" width="19.42578125" style="233" customWidth="1"/>
    <col min="7" max="7" width="20.7109375" style="234" customWidth="1"/>
    <col min="8" max="8" width="15.42578125" style="125" customWidth="1"/>
    <col min="9" max="9" width="14.5703125" style="125" customWidth="1"/>
    <col min="10" max="10" width="14.140625" style="125" customWidth="1"/>
    <col min="11" max="13" width="15.42578125" style="125" customWidth="1"/>
    <col min="14" max="23" width="9.140625" style="125"/>
    <col min="24" max="28" width="0" style="125" hidden="1" customWidth="1"/>
    <col min="29" max="16384" width="9.140625" style="125"/>
  </cols>
  <sheetData>
    <row r="1" spans="1:6">
      <c r="C1" s="845" t="s">
        <v>103</v>
      </c>
      <c r="D1" s="845"/>
      <c r="E1" s="234"/>
      <c r="F1" s="234"/>
    </row>
    <row r="2" spans="1:6">
      <c r="C2" s="845" t="s">
        <v>141</v>
      </c>
      <c r="D2" s="845"/>
      <c r="E2" s="234"/>
      <c r="F2" s="234"/>
    </row>
    <row r="3" spans="1:6">
      <c r="C3" s="845" t="s">
        <v>240</v>
      </c>
      <c r="D3" s="845"/>
      <c r="E3" s="234"/>
      <c r="F3" s="234"/>
    </row>
    <row r="4" spans="1:6">
      <c r="C4" s="845" t="s">
        <v>361</v>
      </c>
      <c r="D4" s="845"/>
      <c r="E4" s="234"/>
      <c r="F4" s="234"/>
    </row>
    <row r="5" spans="1:6">
      <c r="C5" s="845" t="s">
        <v>1195</v>
      </c>
      <c r="D5" s="845"/>
      <c r="E5" s="234"/>
      <c r="F5" s="234"/>
    </row>
    <row r="6" spans="1:6">
      <c r="C6" s="845" t="s">
        <v>1197</v>
      </c>
      <c r="D6" s="845"/>
      <c r="E6" s="234"/>
      <c r="F6" s="234"/>
    </row>
    <row r="7" spans="1:6">
      <c r="B7" s="849" t="s">
        <v>1076</v>
      </c>
      <c r="C7" s="849"/>
      <c r="D7" s="849"/>
      <c r="E7" s="234"/>
      <c r="F7" s="234"/>
    </row>
    <row r="9" spans="1:6" ht="34.5" customHeight="1">
      <c r="A9" s="846" t="s">
        <v>239</v>
      </c>
      <c r="B9" s="846" t="s">
        <v>74</v>
      </c>
      <c r="C9" s="847" t="s">
        <v>146</v>
      </c>
      <c r="D9" s="843" t="s">
        <v>363</v>
      </c>
      <c r="E9" s="843" t="s">
        <v>363</v>
      </c>
      <c r="F9" s="843"/>
    </row>
    <row r="10" spans="1:6" ht="24" customHeight="1">
      <c r="A10" s="846"/>
      <c r="B10" s="846"/>
      <c r="C10" s="848"/>
      <c r="D10" s="844"/>
      <c r="E10" s="844"/>
      <c r="F10" s="844"/>
    </row>
    <row r="11" spans="1:6" ht="39.75" customHeight="1">
      <c r="A11" s="235">
        <v>0</v>
      </c>
      <c r="B11" s="236" t="s">
        <v>106</v>
      </c>
      <c r="C11" s="237" t="s">
        <v>30</v>
      </c>
      <c r="D11" s="259">
        <f>D12+D16+D58+D85+D100+D112</f>
        <v>1765802.7999999998</v>
      </c>
      <c r="E11" s="259">
        <f>E12+E16+E58+E85+E100+E112</f>
        <v>1722538.8000000003</v>
      </c>
      <c r="F11" s="259">
        <f>D11-E11</f>
        <v>43263.999999999534</v>
      </c>
    </row>
    <row r="12" spans="1:6" ht="33" customHeight="1">
      <c r="A12" s="235">
        <v>931</v>
      </c>
      <c r="B12" s="236" t="s">
        <v>367</v>
      </c>
      <c r="C12" s="237" t="s">
        <v>173</v>
      </c>
      <c r="D12" s="259">
        <f>D13+D15+D14</f>
        <v>94224.5</v>
      </c>
      <c r="E12" s="259">
        <f>E13+E15+E14</f>
        <v>132128.1</v>
      </c>
      <c r="F12" s="259">
        <f t="shared" ref="F12:F74" si="0">D12-E12</f>
        <v>-37903.600000000006</v>
      </c>
    </row>
    <row r="13" spans="1:6" ht="31.5">
      <c r="A13" s="238">
        <v>931</v>
      </c>
      <c r="B13" s="239" t="s">
        <v>450</v>
      </c>
      <c r="C13" s="240" t="s">
        <v>1077</v>
      </c>
      <c r="D13" s="260">
        <v>94224.5</v>
      </c>
      <c r="E13" s="260">
        <v>132128.1</v>
      </c>
      <c r="F13" s="259">
        <f t="shared" si="0"/>
        <v>-37903.600000000006</v>
      </c>
    </row>
    <row r="14" spans="1:6" ht="33" hidden="1" customHeight="1">
      <c r="A14" s="238">
        <v>931</v>
      </c>
      <c r="B14" s="239" t="s">
        <v>451</v>
      </c>
      <c r="C14" s="240" t="s">
        <v>401</v>
      </c>
      <c r="D14" s="260"/>
      <c r="E14" s="260"/>
      <c r="F14" s="259">
        <f t="shared" si="0"/>
        <v>0</v>
      </c>
    </row>
    <row r="15" spans="1:6" ht="30.75" hidden="1" customHeight="1">
      <c r="A15" s="238">
        <v>931</v>
      </c>
      <c r="B15" s="239" t="s">
        <v>366</v>
      </c>
      <c r="C15" s="240" t="s">
        <v>405</v>
      </c>
      <c r="D15" s="260">
        <v>0</v>
      </c>
      <c r="E15" s="260">
        <v>0</v>
      </c>
      <c r="F15" s="259">
        <f t="shared" si="0"/>
        <v>0</v>
      </c>
    </row>
    <row r="16" spans="1:6" ht="31.5">
      <c r="A16" s="235">
        <v>0</v>
      </c>
      <c r="B16" s="236" t="s">
        <v>368</v>
      </c>
      <c r="C16" s="237" t="s">
        <v>174</v>
      </c>
      <c r="D16" s="259">
        <f>SUM(D17:D57)</f>
        <v>1221854.7999999998</v>
      </c>
      <c r="E16" s="259">
        <f>SUM(E17:E57)</f>
        <v>1146873.5</v>
      </c>
      <c r="F16" s="259">
        <f t="shared" si="0"/>
        <v>74981.299999999814</v>
      </c>
    </row>
    <row r="17" spans="1:8" s="174" customFormat="1" ht="39.75" hidden="1" customHeight="1">
      <c r="A17" s="241">
        <v>934</v>
      </c>
      <c r="B17" s="340" t="s">
        <v>461</v>
      </c>
      <c r="C17" s="242" t="s">
        <v>514</v>
      </c>
      <c r="D17" s="260"/>
      <c r="E17" s="260"/>
      <c r="F17" s="259">
        <f t="shared" si="0"/>
        <v>0</v>
      </c>
      <c r="G17" s="449"/>
    </row>
    <row r="18" spans="1:8" s="174" customFormat="1" ht="47.25">
      <c r="A18" s="241">
        <v>934</v>
      </c>
      <c r="B18" s="340" t="s">
        <v>460</v>
      </c>
      <c r="C18" s="240" t="s">
        <v>468</v>
      </c>
      <c r="D18" s="451">
        <v>9739.2000000000007</v>
      </c>
      <c r="E18" s="260">
        <v>11908.3</v>
      </c>
      <c r="F18" s="259">
        <f t="shared" si="0"/>
        <v>-2169.0999999999985</v>
      </c>
      <c r="G18" s="449">
        <v>9544.5</v>
      </c>
      <c r="H18" s="174">
        <v>194.8</v>
      </c>
    </row>
    <row r="19" spans="1:8" ht="36.75" hidden="1" customHeight="1">
      <c r="A19" s="241">
        <v>934</v>
      </c>
      <c r="B19" s="340" t="s">
        <v>1034</v>
      </c>
      <c r="C19" s="240" t="s">
        <v>1035</v>
      </c>
      <c r="D19" s="260"/>
      <c r="E19" s="260"/>
      <c r="F19" s="259">
        <f t="shared" si="0"/>
        <v>0</v>
      </c>
    </row>
    <row r="20" spans="1:8" ht="31.5" hidden="1">
      <c r="A20" s="241">
        <v>937</v>
      </c>
      <c r="B20" s="340" t="s">
        <v>452</v>
      </c>
      <c r="C20" s="240" t="s">
        <v>1081</v>
      </c>
      <c r="D20" s="403">
        <v>0</v>
      </c>
      <c r="E20" s="403">
        <v>240</v>
      </c>
      <c r="F20" s="259">
        <f t="shared" si="0"/>
        <v>-240</v>
      </c>
      <c r="G20" s="234">
        <v>815</v>
      </c>
    </row>
    <row r="21" spans="1:8">
      <c r="A21" s="241">
        <v>937</v>
      </c>
      <c r="B21" s="246" t="s">
        <v>452</v>
      </c>
      <c r="C21" s="240" t="s">
        <v>1233</v>
      </c>
      <c r="D21" s="788">
        <v>38.799999999999997</v>
      </c>
      <c r="E21" s="403"/>
      <c r="F21" s="259">
        <f t="shared" si="0"/>
        <v>38.799999999999997</v>
      </c>
    </row>
    <row r="22" spans="1:8" s="243" customFormat="1" ht="68.25" customHeight="1">
      <c r="A22" s="241">
        <v>934</v>
      </c>
      <c r="B22" s="246" t="s">
        <v>452</v>
      </c>
      <c r="C22" s="240" t="s">
        <v>1038</v>
      </c>
      <c r="D22" s="788">
        <v>2887.3</v>
      </c>
      <c r="E22" s="403">
        <v>2887.3</v>
      </c>
      <c r="F22" s="259">
        <f t="shared" si="0"/>
        <v>0</v>
      </c>
      <c r="G22" s="243">
        <v>801</v>
      </c>
    </row>
    <row r="23" spans="1:8" s="244" customFormat="1" ht="63">
      <c r="A23" s="238">
        <v>934</v>
      </c>
      <c r="B23" s="246" t="s">
        <v>452</v>
      </c>
      <c r="C23" s="240" t="s">
        <v>540</v>
      </c>
      <c r="D23" s="788">
        <v>6530</v>
      </c>
      <c r="E23" s="403">
        <v>6530</v>
      </c>
      <c r="F23" s="259">
        <f t="shared" si="0"/>
        <v>0</v>
      </c>
    </row>
    <row r="24" spans="1:8" s="244" customFormat="1" ht="61.5" customHeight="1">
      <c r="A24" s="238">
        <v>934</v>
      </c>
      <c r="B24" s="789" t="s">
        <v>1009</v>
      </c>
      <c r="C24" s="240" t="s">
        <v>1231</v>
      </c>
      <c r="D24" s="788">
        <v>768088.8</v>
      </c>
      <c r="E24" s="403"/>
      <c r="F24" s="259">
        <f t="shared" si="0"/>
        <v>768088.8</v>
      </c>
      <c r="G24" s="244" t="s">
        <v>1232</v>
      </c>
    </row>
    <row r="25" spans="1:8" s="244" customFormat="1" ht="78.75" customHeight="1">
      <c r="A25" s="238">
        <v>934</v>
      </c>
      <c r="B25" s="246" t="s">
        <v>452</v>
      </c>
      <c r="C25" s="240" t="s">
        <v>502</v>
      </c>
      <c r="D25" s="788">
        <v>8553.2000000000007</v>
      </c>
      <c r="E25" s="403">
        <v>8553.2000000000007</v>
      </c>
      <c r="F25" s="259">
        <f t="shared" si="0"/>
        <v>0</v>
      </c>
    </row>
    <row r="26" spans="1:8" s="244" customFormat="1" ht="31.5">
      <c r="A26" s="238">
        <v>934</v>
      </c>
      <c r="B26" s="246" t="s">
        <v>462</v>
      </c>
      <c r="C26" s="248" t="s">
        <v>1229</v>
      </c>
      <c r="D26" s="788">
        <v>233.6</v>
      </c>
      <c r="E26" s="403"/>
      <c r="F26" s="259">
        <f t="shared" si="0"/>
        <v>233.6</v>
      </c>
      <c r="G26" s="244" t="s">
        <v>1230</v>
      </c>
    </row>
    <row r="27" spans="1:8" s="244" customFormat="1" hidden="1">
      <c r="A27" s="238">
        <v>934</v>
      </c>
      <c r="B27" s="246" t="s">
        <v>462</v>
      </c>
      <c r="C27" s="248" t="s">
        <v>880</v>
      </c>
      <c r="D27" s="403"/>
      <c r="E27" s="403"/>
      <c r="F27" s="259">
        <f t="shared" si="0"/>
        <v>0</v>
      </c>
    </row>
    <row r="28" spans="1:8" s="244" customFormat="1" ht="31.5">
      <c r="A28" s="238">
        <v>934</v>
      </c>
      <c r="B28" s="246" t="s">
        <v>452</v>
      </c>
      <c r="C28" s="240" t="s">
        <v>727</v>
      </c>
      <c r="D28" s="788">
        <v>400</v>
      </c>
      <c r="E28" s="403">
        <v>400</v>
      </c>
      <c r="F28" s="259">
        <f t="shared" si="0"/>
        <v>0</v>
      </c>
    </row>
    <row r="29" spans="1:8" s="244" customFormat="1" ht="31.5" hidden="1">
      <c r="A29" s="238">
        <v>937</v>
      </c>
      <c r="B29" s="246" t="s">
        <v>452</v>
      </c>
      <c r="C29" s="240" t="s">
        <v>864</v>
      </c>
      <c r="D29" s="403"/>
      <c r="E29" s="403"/>
      <c r="F29" s="259">
        <f t="shared" si="0"/>
        <v>0</v>
      </c>
    </row>
    <row r="30" spans="1:8" s="244" customFormat="1" ht="31.5" hidden="1" customHeight="1">
      <c r="A30" s="238">
        <v>934</v>
      </c>
      <c r="B30" s="246" t="s">
        <v>535</v>
      </c>
      <c r="C30" s="240" t="s">
        <v>881</v>
      </c>
      <c r="D30" s="403"/>
      <c r="E30" s="403"/>
      <c r="F30" s="259">
        <f t="shared" si="0"/>
        <v>0</v>
      </c>
    </row>
    <row r="31" spans="1:8" s="244" customFormat="1" ht="47.25">
      <c r="A31" s="238">
        <v>934</v>
      </c>
      <c r="B31" s="246" t="s">
        <v>452</v>
      </c>
      <c r="C31" s="240" t="s">
        <v>1079</v>
      </c>
      <c r="D31" s="788">
        <v>149</v>
      </c>
      <c r="E31" s="403">
        <v>158</v>
      </c>
      <c r="F31" s="259">
        <f t="shared" si="0"/>
        <v>-9</v>
      </c>
    </row>
    <row r="32" spans="1:8" s="244" customFormat="1" ht="47.25">
      <c r="A32" s="238">
        <v>931</v>
      </c>
      <c r="B32" s="246" t="s">
        <v>452</v>
      </c>
      <c r="C32" s="494" t="s">
        <v>726</v>
      </c>
      <c r="D32" s="788">
        <v>110181.8</v>
      </c>
      <c r="E32" s="403"/>
      <c r="F32" s="259">
        <f t="shared" si="0"/>
        <v>110181.8</v>
      </c>
    </row>
    <row r="33" spans="1:8" s="244" customFormat="1" ht="31.5" hidden="1">
      <c r="A33" s="238">
        <v>934</v>
      </c>
      <c r="B33" s="246" t="s">
        <v>452</v>
      </c>
      <c r="C33" s="240" t="s">
        <v>430</v>
      </c>
      <c r="D33" s="403"/>
      <c r="E33" s="403"/>
      <c r="F33" s="259">
        <f t="shared" si="0"/>
        <v>0</v>
      </c>
    </row>
    <row r="34" spans="1:8" s="244" customFormat="1" ht="31.5">
      <c r="A34" s="238">
        <v>934</v>
      </c>
      <c r="B34" s="246" t="s">
        <v>452</v>
      </c>
      <c r="C34" s="240" t="s">
        <v>1078</v>
      </c>
      <c r="D34" s="788">
        <v>30091.200000000001</v>
      </c>
      <c r="E34" s="403">
        <v>30091.200000000001</v>
      </c>
      <c r="F34" s="259">
        <f t="shared" si="0"/>
        <v>0</v>
      </c>
    </row>
    <row r="35" spans="1:8" s="244" customFormat="1" ht="31.5">
      <c r="A35" s="238">
        <v>934</v>
      </c>
      <c r="B35" s="246" t="s">
        <v>452</v>
      </c>
      <c r="C35" s="240" t="s">
        <v>1087</v>
      </c>
      <c r="D35" s="788">
        <v>100</v>
      </c>
      <c r="E35" s="403">
        <v>100</v>
      </c>
      <c r="F35" s="259">
        <f t="shared" si="0"/>
        <v>0</v>
      </c>
    </row>
    <row r="36" spans="1:8" s="244" customFormat="1" ht="31.5" hidden="1">
      <c r="A36" s="238">
        <v>934</v>
      </c>
      <c r="B36" s="246" t="s">
        <v>452</v>
      </c>
      <c r="C36" s="240" t="s">
        <v>1067</v>
      </c>
      <c r="D36" s="403"/>
      <c r="E36" s="403"/>
      <c r="F36" s="259">
        <f t="shared" si="0"/>
        <v>0</v>
      </c>
    </row>
    <row r="37" spans="1:8" s="244" customFormat="1" ht="48" customHeight="1">
      <c r="A37" s="238">
        <v>934</v>
      </c>
      <c r="B37" s="246" t="s">
        <v>452</v>
      </c>
      <c r="C37" s="240" t="s">
        <v>1080</v>
      </c>
      <c r="D37" s="788">
        <v>50606.6</v>
      </c>
      <c r="E37" s="403">
        <v>50606.6</v>
      </c>
      <c r="F37" s="259">
        <f t="shared" si="0"/>
        <v>0</v>
      </c>
    </row>
    <row r="38" spans="1:8" s="244" customFormat="1" ht="47.25">
      <c r="A38" s="238">
        <v>937</v>
      </c>
      <c r="B38" s="246" t="s">
        <v>452</v>
      </c>
      <c r="C38" s="240" t="s">
        <v>875</v>
      </c>
      <c r="D38" s="788">
        <v>10515</v>
      </c>
      <c r="E38" s="403">
        <v>10626</v>
      </c>
      <c r="F38" s="259">
        <f t="shared" si="0"/>
        <v>-111</v>
      </c>
    </row>
    <row r="39" spans="1:8" s="244" customFormat="1" ht="70.5" customHeight="1">
      <c r="A39" s="238">
        <v>936</v>
      </c>
      <c r="B39" s="246" t="s">
        <v>1040</v>
      </c>
      <c r="C39" s="248" t="s">
        <v>1039</v>
      </c>
      <c r="D39" s="788">
        <v>4143.8999999999996</v>
      </c>
      <c r="E39" s="403"/>
      <c r="F39" s="259">
        <f t="shared" si="0"/>
        <v>4143.8999999999996</v>
      </c>
      <c r="G39" s="244" t="s">
        <v>1236</v>
      </c>
    </row>
    <row r="40" spans="1:8" s="244" customFormat="1" ht="38.25" customHeight="1">
      <c r="A40" s="238">
        <v>934</v>
      </c>
      <c r="B40" s="246" t="s">
        <v>462</v>
      </c>
      <c r="C40" s="248" t="s">
        <v>1235</v>
      </c>
      <c r="D40" s="788">
        <v>10419.9</v>
      </c>
      <c r="E40" s="403"/>
      <c r="F40" s="259">
        <f t="shared" si="0"/>
        <v>10419.9</v>
      </c>
      <c r="G40" s="244" t="s">
        <v>1264</v>
      </c>
    </row>
    <row r="41" spans="1:8" s="244" customFormat="1" ht="31.5">
      <c r="A41" s="238">
        <v>936</v>
      </c>
      <c r="B41" s="246" t="s">
        <v>452</v>
      </c>
      <c r="C41" s="240" t="s">
        <v>1083</v>
      </c>
      <c r="D41" s="788">
        <v>10916.6</v>
      </c>
      <c r="E41" s="403">
        <v>10916.6</v>
      </c>
      <c r="F41" s="259">
        <f t="shared" si="0"/>
        <v>0</v>
      </c>
    </row>
    <row r="42" spans="1:8" s="244" customFormat="1" ht="38.25" hidden="1" customHeight="1">
      <c r="A42" s="238">
        <v>936</v>
      </c>
      <c r="B42" s="246" t="s">
        <v>452</v>
      </c>
      <c r="C42" s="240" t="s">
        <v>516</v>
      </c>
      <c r="D42" s="403"/>
      <c r="E42" s="403"/>
      <c r="F42" s="259">
        <f t="shared" si="0"/>
        <v>0</v>
      </c>
    </row>
    <row r="43" spans="1:8" s="244" customFormat="1" ht="31.5">
      <c r="A43" s="238">
        <v>936</v>
      </c>
      <c r="B43" s="246" t="s">
        <v>452</v>
      </c>
      <c r="C43" s="248" t="s">
        <v>1082</v>
      </c>
      <c r="D43" s="788">
        <v>623</v>
      </c>
      <c r="E43" s="403">
        <v>623</v>
      </c>
      <c r="F43" s="259">
        <f t="shared" si="0"/>
        <v>0</v>
      </c>
      <c r="H43" s="244" t="s">
        <v>86</v>
      </c>
    </row>
    <row r="44" spans="1:8" s="244" customFormat="1" ht="48" customHeight="1">
      <c r="A44" s="238">
        <v>936</v>
      </c>
      <c r="B44" s="246" t="s">
        <v>801</v>
      </c>
      <c r="C44" s="240" t="s">
        <v>1086</v>
      </c>
      <c r="D44" s="788">
        <v>27547.599999999999</v>
      </c>
      <c r="E44" s="403">
        <v>26676.799999999999</v>
      </c>
      <c r="F44" s="259">
        <f t="shared" si="0"/>
        <v>870.79999999999927</v>
      </c>
    </row>
    <row r="45" spans="1:8" s="244" customFormat="1" ht="31.5">
      <c r="A45" s="238">
        <v>936</v>
      </c>
      <c r="B45" s="246" t="s">
        <v>452</v>
      </c>
      <c r="C45" s="240" t="s">
        <v>725</v>
      </c>
      <c r="D45" s="788">
        <v>12483.4</v>
      </c>
      <c r="E45" s="403">
        <v>11241</v>
      </c>
      <c r="F45" s="259">
        <f t="shared" si="0"/>
        <v>1242.3999999999996</v>
      </c>
    </row>
    <row r="46" spans="1:8" s="244" customFormat="1" ht="47.25" hidden="1" customHeight="1">
      <c r="A46" s="238">
        <v>936</v>
      </c>
      <c r="B46" s="246" t="s">
        <v>801</v>
      </c>
      <c r="C46" s="240" t="s">
        <v>1005</v>
      </c>
      <c r="D46" s="403"/>
      <c r="E46" s="403"/>
      <c r="F46" s="259">
        <f t="shared" si="0"/>
        <v>0</v>
      </c>
    </row>
    <row r="47" spans="1:8" s="244" customFormat="1" ht="64.5" customHeight="1">
      <c r="A47" s="238">
        <v>936</v>
      </c>
      <c r="B47" s="246" t="s">
        <v>452</v>
      </c>
      <c r="C47" s="250" t="s">
        <v>1084</v>
      </c>
      <c r="D47" s="788">
        <v>122321.3</v>
      </c>
      <c r="E47" s="403">
        <v>122321.3</v>
      </c>
      <c r="F47" s="259">
        <f t="shared" si="0"/>
        <v>0</v>
      </c>
    </row>
    <row r="48" spans="1:8" s="244" customFormat="1" ht="78.75" hidden="1">
      <c r="A48" s="238">
        <v>937</v>
      </c>
      <c r="B48" s="246" t="s">
        <v>452</v>
      </c>
      <c r="C48" s="250" t="s">
        <v>1085</v>
      </c>
      <c r="D48" s="403"/>
      <c r="E48" s="403">
        <v>818019.5</v>
      </c>
      <c r="F48" s="259">
        <f t="shared" si="0"/>
        <v>-818019.5</v>
      </c>
    </row>
    <row r="49" spans="1:7" s="244" customFormat="1" ht="47.25" hidden="1" customHeight="1">
      <c r="A49" s="238">
        <v>936</v>
      </c>
      <c r="B49" s="246" t="s">
        <v>465</v>
      </c>
      <c r="C49" s="250" t="s">
        <v>787</v>
      </c>
      <c r="D49" s="403"/>
      <c r="E49" s="403"/>
      <c r="F49" s="259">
        <f t="shared" si="0"/>
        <v>0</v>
      </c>
    </row>
    <row r="50" spans="1:7" s="243" customFormat="1" ht="31.5" hidden="1">
      <c r="A50" s="238">
        <v>934</v>
      </c>
      <c r="B50" s="246" t="s">
        <v>464</v>
      </c>
      <c r="C50" s="240" t="s">
        <v>541</v>
      </c>
      <c r="D50" s="260"/>
      <c r="E50" s="260"/>
      <c r="F50" s="259">
        <f t="shared" si="0"/>
        <v>0</v>
      </c>
    </row>
    <row r="51" spans="1:7" s="244" customFormat="1" ht="47.25" hidden="1" customHeight="1">
      <c r="A51" s="238">
        <v>931</v>
      </c>
      <c r="B51" s="246" t="s">
        <v>452</v>
      </c>
      <c r="C51" s="240" t="s">
        <v>780</v>
      </c>
      <c r="D51" s="260"/>
      <c r="E51" s="260"/>
      <c r="F51" s="259">
        <f t="shared" si="0"/>
        <v>0</v>
      </c>
    </row>
    <row r="52" spans="1:7" s="244" customFormat="1" ht="31.5" hidden="1" customHeight="1">
      <c r="A52" s="238">
        <v>934</v>
      </c>
      <c r="B52" s="246" t="s">
        <v>452</v>
      </c>
      <c r="C52" s="240" t="s">
        <v>1048</v>
      </c>
      <c r="D52" s="260"/>
      <c r="E52" s="260"/>
      <c r="F52" s="259">
        <f t="shared" si="0"/>
        <v>0</v>
      </c>
    </row>
    <row r="53" spans="1:7" s="244" customFormat="1" ht="31.5">
      <c r="A53" s="238">
        <v>934</v>
      </c>
      <c r="B53" s="246" t="s">
        <v>452</v>
      </c>
      <c r="C53" s="240" t="s">
        <v>515</v>
      </c>
      <c r="D53" s="451">
        <v>17305.400000000001</v>
      </c>
      <c r="E53" s="260">
        <v>17305.400000000001</v>
      </c>
      <c r="F53" s="259">
        <f t="shared" si="0"/>
        <v>0</v>
      </c>
    </row>
    <row r="54" spans="1:7" s="244" customFormat="1" ht="47.25" hidden="1" customHeight="1">
      <c r="A54" s="238">
        <v>937</v>
      </c>
      <c r="B54" s="246" t="s">
        <v>452</v>
      </c>
      <c r="C54" s="240" t="s">
        <v>875</v>
      </c>
      <c r="D54" s="260"/>
      <c r="E54" s="260"/>
      <c r="F54" s="259">
        <f t="shared" si="0"/>
        <v>0</v>
      </c>
    </row>
    <row r="55" spans="1:7" s="244" customFormat="1" ht="51.75" hidden="1" customHeight="1">
      <c r="A55" s="238">
        <v>931</v>
      </c>
      <c r="B55" s="246" t="s">
        <v>452</v>
      </c>
      <c r="C55" s="240" t="s">
        <v>780</v>
      </c>
      <c r="D55" s="260"/>
      <c r="E55" s="260"/>
      <c r="F55" s="259">
        <f t="shared" si="0"/>
        <v>0</v>
      </c>
    </row>
    <row r="56" spans="1:7" s="244" customFormat="1" ht="57" customHeight="1">
      <c r="A56" s="238">
        <v>934</v>
      </c>
      <c r="B56" s="246" t="s">
        <v>1068</v>
      </c>
      <c r="C56" s="240" t="s">
        <v>876</v>
      </c>
      <c r="D56" s="451">
        <v>16326.5</v>
      </c>
      <c r="E56" s="260">
        <v>16326.5</v>
      </c>
      <c r="F56" s="259">
        <f t="shared" si="0"/>
        <v>0</v>
      </c>
      <c r="G56" s="244" t="s">
        <v>1234</v>
      </c>
    </row>
    <row r="57" spans="1:7" s="244" customFormat="1" ht="94.5">
      <c r="A57" s="238">
        <v>936</v>
      </c>
      <c r="B57" s="246" t="s">
        <v>452</v>
      </c>
      <c r="C57" s="240" t="s">
        <v>1088</v>
      </c>
      <c r="D57" s="451">
        <v>1652.7</v>
      </c>
      <c r="E57" s="260">
        <v>1342.8</v>
      </c>
      <c r="F57" s="259">
        <f t="shared" si="0"/>
        <v>309.90000000000009</v>
      </c>
    </row>
    <row r="58" spans="1:7" s="244" customFormat="1" ht="31.5">
      <c r="A58" s="235">
        <v>0</v>
      </c>
      <c r="B58" s="236" t="s">
        <v>369</v>
      </c>
      <c r="C58" s="249" t="s">
        <v>175</v>
      </c>
      <c r="D58" s="262">
        <f>SUM(D59:D84)</f>
        <v>406690.9</v>
      </c>
      <c r="E58" s="262">
        <f>SUM(E59:E84)</f>
        <v>403117.40000000008</v>
      </c>
      <c r="F58" s="259">
        <f t="shared" si="0"/>
        <v>3573.4999999999418</v>
      </c>
      <c r="G58" s="245"/>
    </row>
    <row r="59" spans="1:7" s="244" customFormat="1" ht="47.25">
      <c r="A59" s="241">
        <v>934</v>
      </c>
      <c r="B59" s="333" t="s">
        <v>463</v>
      </c>
      <c r="C59" s="341" t="s">
        <v>431</v>
      </c>
      <c r="D59" s="451">
        <v>11.7</v>
      </c>
      <c r="E59" s="260">
        <v>2.9</v>
      </c>
      <c r="F59" s="259">
        <f t="shared" si="0"/>
        <v>8.7999999999999989</v>
      </c>
      <c r="G59" s="245"/>
    </row>
    <row r="60" spans="1:7" s="244" customFormat="1" ht="69.75" customHeight="1">
      <c r="A60" s="238">
        <v>936</v>
      </c>
      <c r="B60" s="239" t="s">
        <v>466</v>
      </c>
      <c r="C60" s="240" t="s">
        <v>432</v>
      </c>
      <c r="D60" s="788">
        <v>5806.1</v>
      </c>
      <c r="E60" s="403">
        <v>5806.1</v>
      </c>
      <c r="F60" s="259">
        <f t="shared" si="0"/>
        <v>0</v>
      </c>
      <c r="G60" s="245"/>
    </row>
    <row r="61" spans="1:7" s="244" customFormat="1" ht="31.5">
      <c r="A61" s="238">
        <v>934</v>
      </c>
      <c r="B61" s="239" t="s">
        <v>453</v>
      </c>
      <c r="C61" s="494" t="s">
        <v>511</v>
      </c>
      <c r="D61" s="788">
        <v>320</v>
      </c>
      <c r="E61" s="403">
        <v>320</v>
      </c>
      <c r="F61" s="259">
        <f t="shared" si="0"/>
        <v>0</v>
      </c>
      <c r="G61" s="245"/>
    </row>
    <row r="62" spans="1:7" s="244" customFormat="1" ht="31.5">
      <c r="A62" s="238">
        <v>934</v>
      </c>
      <c r="B62" s="239" t="s">
        <v>453</v>
      </c>
      <c r="C62" s="494" t="s">
        <v>433</v>
      </c>
      <c r="D62" s="788">
        <v>1.7</v>
      </c>
      <c r="E62" s="403">
        <v>1.7</v>
      </c>
      <c r="F62" s="259">
        <f t="shared" si="0"/>
        <v>0</v>
      </c>
      <c r="G62" s="245"/>
    </row>
    <row r="63" spans="1:7" s="244" customFormat="1" ht="31.5">
      <c r="A63" s="238">
        <v>931</v>
      </c>
      <c r="B63" s="239" t="s">
        <v>453</v>
      </c>
      <c r="C63" s="250" t="s">
        <v>434</v>
      </c>
      <c r="D63" s="788">
        <v>100.2</v>
      </c>
      <c r="E63" s="403">
        <v>100.2</v>
      </c>
      <c r="F63" s="259">
        <f t="shared" si="0"/>
        <v>0</v>
      </c>
      <c r="G63" s="245"/>
    </row>
    <row r="64" spans="1:7" s="244" customFormat="1" ht="63">
      <c r="A64" s="238">
        <v>934</v>
      </c>
      <c r="B64" s="239" t="s">
        <v>453</v>
      </c>
      <c r="C64" s="240" t="s">
        <v>1093</v>
      </c>
      <c r="D64" s="788">
        <v>587</v>
      </c>
      <c r="E64" s="403">
        <v>587</v>
      </c>
      <c r="F64" s="259">
        <f t="shared" si="0"/>
        <v>0</v>
      </c>
      <c r="G64" s="245"/>
    </row>
    <row r="65" spans="1:7" s="244" customFormat="1" ht="126">
      <c r="A65" s="238">
        <v>934</v>
      </c>
      <c r="B65" s="239" t="s">
        <v>453</v>
      </c>
      <c r="C65" s="240" t="s">
        <v>1094</v>
      </c>
      <c r="D65" s="788">
        <v>228.5</v>
      </c>
      <c r="E65" s="403">
        <v>228.5</v>
      </c>
      <c r="F65" s="259">
        <f t="shared" si="0"/>
        <v>0</v>
      </c>
      <c r="G65" s="245"/>
    </row>
    <row r="66" spans="1:7" s="244" customFormat="1" ht="49.5" customHeight="1">
      <c r="A66" s="238">
        <v>934</v>
      </c>
      <c r="B66" s="239" t="s">
        <v>453</v>
      </c>
      <c r="C66" s="240" t="s">
        <v>729</v>
      </c>
      <c r="D66" s="788">
        <v>3.8</v>
      </c>
      <c r="E66" s="403">
        <v>3.8</v>
      </c>
      <c r="F66" s="259">
        <f t="shared" si="0"/>
        <v>0</v>
      </c>
      <c r="G66" s="245"/>
    </row>
    <row r="67" spans="1:7" s="244" customFormat="1" ht="31.5">
      <c r="A67" s="238">
        <v>934</v>
      </c>
      <c r="B67" s="239" t="s">
        <v>453</v>
      </c>
      <c r="C67" s="240" t="s">
        <v>436</v>
      </c>
      <c r="D67" s="788">
        <v>2611.1999999999998</v>
      </c>
      <c r="E67" s="403">
        <v>2611.1999999999998</v>
      </c>
      <c r="F67" s="259">
        <f t="shared" si="0"/>
        <v>0</v>
      </c>
      <c r="G67" s="245"/>
    </row>
    <row r="68" spans="1:7" s="244" customFormat="1" ht="36.75" customHeight="1">
      <c r="A68" s="238">
        <v>934</v>
      </c>
      <c r="B68" s="239" t="s">
        <v>453</v>
      </c>
      <c r="C68" s="240" t="s">
        <v>437</v>
      </c>
      <c r="D68" s="788">
        <v>39.200000000000003</v>
      </c>
      <c r="E68" s="403">
        <v>39.200000000000003</v>
      </c>
      <c r="F68" s="259">
        <f t="shared" si="0"/>
        <v>0</v>
      </c>
      <c r="G68" s="245"/>
    </row>
    <row r="69" spans="1:7" s="244" customFormat="1" ht="31.5">
      <c r="A69" s="238">
        <v>934</v>
      </c>
      <c r="B69" s="239" t="s">
        <v>453</v>
      </c>
      <c r="C69" s="240" t="s">
        <v>438</v>
      </c>
      <c r="D69" s="788">
        <v>326.60000000000002</v>
      </c>
      <c r="E69" s="403">
        <v>326.60000000000002</v>
      </c>
      <c r="F69" s="259">
        <f t="shared" si="0"/>
        <v>0</v>
      </c>
      <c r="G69" s="245"/>
    </row>
    <row r="70" spans="1:7" s="244" customFormat="1" ht="50.25" customHeight="1">
      <c r="A70" s="238">
        <v>934</v>
      </c>
      <c r="B70" s="239" t="s">
        <v>453</v>
      </c>
      <c r="C70" s="240" t="s">
        <v>439</v>
      </c>
      <c r="D70" s="788">
        <v>1078.7</v>
      </c>
      <c r="E70" s="403">
        <v>1618</v>
      </c>
      <c r="F70" s="259">
        <f t="shared" si="0"/>
        <v>-539.29999999999995</v>
      </c>
      <c r="G70" s="245"/>
    </row>
    <row r="71" spans="1:7" s="244" customFormat="1" ht="31.5">
      <c r="A71" s="238">
        <v>934</v>
      </c>
      <c r="B71" s="239" t="s">
        <v>453</v>
      </c>
      <c r="C71" s="240" t="s">
        <v>440</v>
      </c>
      <c r="D71" s="788">
        <v>241.8</v>
      </c>
      <c r="E71" s="403">
        <v>241.8</v>
      </c>
      <c r="F71" s="259">
        <f t="shared" si="0"/>
        <v>0</v>
      </c>
      <c r="G71" s="245"/>
    </row>
    <row r="72" spans="1:7" s="244" customFormat="1" ht="47.25">
      <c r="A72" s="238">
        <v>934</v>
      </c>
      <c r="B72" s="239" t="s">
        <v>453</v>
      </c>
      <c r="C72" s="240" t="s">
        <v>441</v>
      </c>
      <c r="D72" s="788">
        <v>1053.5</v>
      </c>
      <c r="E72" s="403">
        <v>1053.5</v>
      </c>
      <c r="F72" s="259">
        <f t="shared" si="0"/>
        <v>0</v>
      </c>
      <c r="G72" s="245"/>
    </row>
    <row r="73" spans="1:7" s="244" customFormat="1" ht="47.25">
      <c r="A73" s="238">
        <v>934</v>
      </c>
      <c r="B73" s="239" t="s">
        <v>453</v>
      </c>
      <c r="C73" s="240" t="s">
        <v>442</v>
      </c>
      <c r="D73" s="788">
        <v>2157.3000000000002</v>
      </c>
      <c r="E73" s="403">
        <v>2157.3000000000002</v>
      </c>
      <c r="F73" s="259">
        <f t="shared" si="0"/>
        <v>0</v>
      </c>
    </row>
    <row r="74" spans="1:7" s="244" customFormat="1" ht="47.25">
      <c r="A74" s="238">
        <v>934</v>
      </c>
      <c r="B74" s="239" t="s">
        <v>453</v>
      </c>
      <c r="C74" s="240" t="s">
        <v>1089</v>
      </c>
      <c r="D74" s="788">
        <v>244.4</v>
      </c>
      <c r="E74" s="403">
        <v>244.4</v>
      </c>
      <c r="F74" s="259">
        <f t="shared" si="0"/>
        <v>0</v>
      </c>
    </row>
    <row r="75" spans="1:7" s="244" customFormat="1" ht="59.25" customHeight="1">
      <c r="A75" s="238">
        <v>934</v>
      </c>
      <c r="B75" s="239" t="s">
        <v>453</v>
      </c>
      <c r="C75" s="240" t="s">
        <v>1090</v>
      </c>
      <c r="D75" s="788">
        <v>36.700000000000003</v>
      </c>
      <c r="E75" s="403">
        <v>36.700000000000003</v>
      </c>
      <c r="F75" s="259">
        <f t="shared" ref="F75:F91" si="1">D75-E75</f>
        <v>0</v>
      </c>
    </row>
    <row r="76" spans="1:7" s="244" customFormat="1" ht="78.75">
      <c r="A76" s="238">
        <v>936</v>
      </c>
      <c r="B76" s="239" t="s">
        <v>453</v>
      </c>
      <c r="C76" s="240" t="s">
        <v>728</v>
      </c>
      <c r="D76" s="788">
        <v>87.1</v>
      </c>
      <c r="E76" s="403">
        <v>87.1</v>
      </c>
      <c r="F76" s="259">
        <f t="shared" si="1"/>
        <v>0</v>
      </c>
    </row>
    <row r="77" spans="1:7" s="244" customFormat="1" ht="47.25">
      <c r="A77" s="238">
        <v>936</v>
      </c>
      <c r="B77" s="239" t="s">
        <v>453</v>
      </c>
      <c r="C77" s="240" t="s">
        <v>504</v>
      </c>
      <c r="D77" s="788">
        <v>48.7</v>
      </c>
      <c r="E77" s="403">
        <v>48.7</v>
      </c>
      <c r="F77" s="259">
        <f t="shared" si="1"/>
        <v>0</v>
      </c>
    </row>
    <row r="78" spans="1:7" s="244" customFormat="1" ht="63">
      <c r="A78" s="238">
        <v>936</v>
      </c>
      <c r="B78" s="239" t="s">
        <v>453</v>
      </c>
      <c r="C78" s="240" t="s">
        <v>443</v>
      </c>
      <c r="D78" s="788">
        <v>292514.5</v>
      </c>
      <c r="E78" s="403">
        <v>288955.40000000002</v>
      </c>
      <c r="F78" s="259">
        <f t="shared" si="1"/>
        <v>3559.0999999999767</v>
      </c>
    </row>
    <row r="79" spans="1:7" s="244" customFormat="1" ht="173.25">
      <c r="A79" s="238">
        <v>936</v>
      </c>
      <c r="B79" s="239" t="s">
        <v>453</v>
      </c>
      <c r="C79" s="240" t="s">
        <v>524</v>
      </c>
      <c r="D79" s="788">
        <v>1500</v>
      </c>
      <c r="E79" s="403">
        <v>1500</v>
      </c>
      <c r="F79" s="259">
        <f t="shared" si="1"/>
        <v>0</v>
      </c>
    </row>
    <row r="80" spans="1:7" s="244" customFormat="1" ht="31.5">
      <c r="A80" s="238">
        <v>936</v>
      </c>
      <c r="B80" s="239" t="s">
        <v>453</v>
      </c>
      <c r="C80" s="240" t="s">
        <v>444</v>
      </c>
      <c r="D80" s="788">
        <v>89857</v>
      </c>
      <c r="E80" s="403">
        <v>89312.1</v>
      </c>
      <c r="F80" s="259">
        <f t="shared" si="1"/>
        <v>544.89999999999418</v>
      </c>
    </row>
    <row r="81" spans="1:6" s="244" customFormat="1" ht="31.5">
      <c r="A81" s="246">
        <v>936</v>
      </c>
      <c r="B81" s="239" t="s">
        <v>467</v>
      </c>
      <c r="C81" s="240" t="s">
        <v>1091</v>
      </c>
      <c r="D81" s="788">
        <v>4467.6000000000004</v>
      </c>
      <c r="E81" s="403">
        <v>4467.6000000000004</v>
      </c>
      <c r="F81" s="259">
        <f t="shared" si="1"/>
        <v>0</v>
      </c>
    </row>
    <row r="82" spans="1:6" s="244" customFormat="1" ht="31.5">
      <c r="A82" s="246">
        <v>936</v>
      </c>
      <c r="B82" s="239" t="s">
        <v>467</v>
      </c>
      <c r="C82" s="240" t="s">
        <v>1092</v>
      </c>
      <c r="D82" s="788">
        <v>67</v>
      </c>
      <c r="E82" s="403">
        <v>67</v>
      </c>
      <c r="F82" s="259">
        <f t="shared" si="1"/>
        <v>0</v>
      </c>
    </row>
    <row r="83" spans="1:6" s="244" customFormat="1" ht="47.25">
      <c r="A83" s="246">
        <v>934</v>
      </c>
      <c r="B83" s="239" t="s">
        <v>453</v>
      </c>
      <c r="C83" s="583" t="s">
        <v>754</v>
      </c>
      <c r="D83" s="790">
        <v>53.4</v>
      </c>
      <c r="E83" s="700">
        <v>53.4</v>
      </c>
      <c r="F83" s="259">
        <f t="shared" si="1"/>
        <v>0</v>
      </c>
    </row>
    <row r="84" spans="1:6" s="244" customFormat="1" ht="94.5">
      <c r="A84" s="238">
        <v>936</v>
      </c>
      <c r="B84" s="239" t="s">
        <v>467</v>
      </c>
      <c r="C84" s="248" t="s">
        <v>730</v>
      </c>
      <c r="D84" s="788">
        <v>3247.2</v>
      </c>
      <c r="E84" s="403">
        <v>3247.2</v>
      </c>
      <c r="F84" s="259">
        <f t="shared" si="1"/>
        <v>0</v>
      </c>
    </row>
    <row r="85" spans="1:6" s="244" customFormat="1">
      <c r="A85" s="235">
        <v>0</v>
      </c>
      <c r="B85" s="236" t="s">
        <v>370</v>
      </c>
      <c r="C85" s="251" t="s">
        <v>176</v>
      </c>
      <c r="D85" s="259">
        <f>SUM(D86:D99)</f>
        <v>43032.600000000006</v>
      </c>
      <c r="E85" s="259">
        <f>SUM(E86:E99)</f>
        <v>40419.799999999996</v>
      </c>
      <c r="F85" s="259">
        <f t="shared" si="1"/>
        <v>2612.8000000000102</v>
      </c>
    </row>
    <row r="86" spans="1:6" s="244" customFormat="1" ht="55.5" customHeight="1">
      <c r="A86" s="238">
        <v>931</v>
      </c>
      <c r="B86" s="239" t="s">
        <v>454</v>
      </c>
      <c r="C86" s="248" t="s">
        <v>131</v>
      </c>
      <c r="D86" s="403">
        <v>5719</v>
      </c>
      <c r="E86" s="403">
        <v>4754.6000000000004</v>
      </c>
      <c r="F86" s="259">
        <f t="shared" si="1"/>
        <v>964.39999999999964</v>
      </c>
    </row>
    <row r="87" spans="1:6" s="244" customFormat="1" ht="31.5" hidden="1" customHeight="1">
      <c r="A87" s="238">
        <v>931</v>
      </c>
      <c r="B87" s="572" t="s">
        <v>459</v>
      </c>
      <c r="C87" s="248" t="s">
        <v>1066</v>
      </c>
      <c r="D87" s="403"/>
      <c r="E87" s="403"/>
      <c r="F87" s="259">
        <f t="shared" si="1"/>
        <v>0</v>
      </c>
    </row>
    <row r="88" spans="1:6" s="244" customFormat="1" ht="47.25" hidden="1" customHeight="1">
      <c r="A88" s="238">
        <v>936</v>
      </c>
      <c r="B88" s="572" t="s">
        <v>459</v>
      </c>
      <c r="C88" s="248" t="s">
        <v>807</v>
      </c>
      <c r="D88" s="403"/>
      <c r="E88" s="403"/>
      <c r="F88" s="259">
        <f t="shared" si="1"/>
        <v>0</v>
      </c>
    </row>
    <row r="89" spans="1:6" s="244" customFormat="1" ht="63" customHeight="1">
      <c r="A89" s="238">
        <v>936</v>
      </c>
      <c r="B89" s="239" t="s">
        <v>996</v>
      </c>
      <c r="C89" s="242" t="s">
        <v>1237</v>
      </c>
      <c r="D89" s="788">
        <v>3213.8</v>
      </c>
      <c r="E89" s="403"/>
      <c r="F89" s="259">
        <f t="shared" si="1"/>
        <v>3213.8</v>
      </c>
    </row>
    <row r="90" spans="1:6" s="244" customFormat="1" ht="47.25">
      <c r="A90" s="238">
        <v>936</v>
      </c>
      <c r="B90" s="493" t="s">
        <v>543</v>
      </c>
      <c r="C90" s="242" t="s">
        <v>1012</v>
      </c>
      <c r="D90" s="788">
        <v>33747.800000000003</v>
      </c>
      <c r="E90" s="403">
        <v>35313.199999999997</v>
      </c>
      <c r="F90" s="259">
        <f t="shared" si="1"/>
        <v>-1565.3999999999942</v>
      </c>
    </row>
    <row r="91" spans="1:6" s="244" customFormat="1" ht="47.25">
      <c r="A91" s="238">
        <v>936</v>
      </c>
      <c r="B91" s="239" t="s">
        <v>459</v>
      </c>
      <c r="C91" s="242" t="s">
        <v>1006</v>
      </c>
      <c r="D91" s="788">
        <v>352</v>
      </c>
      <c r="E91" s="403">
        <v>352</v>
      </c>
      <c r="F91" s="259">
        <f t="shared" si="1"/>
        <v>0</v>
      </c>
    </row>
    <row r="92" spans="1:6" s="244" customFormat="1" ht="52.5" hidden="1" customHeight="1">
      <c r="A92" s="238">
        <v>934</v>
      </c>
      <c r="B92" s="493" t="s">
        <v>485</v>
      </c>
      <c r="C92" s="248" t="s">
        <v>897</v>
      </c>
      <c r="D92" s="260"/>
      <c r="E92" s="260"/>
      <c r="F92" s="599"/>
    </row>
    <row r="93" spans="1:6" s="244" customFormat="1" ht="52.5" hidden="1" customHeight="1">
      <c r="A93" s="238">
        <v>934</v>
      </c>
      <c r="B93" s="493" t="s">
        <v>485</v>
      </c>
      <c r="C93" s="248" t="s">
        <v>896</v>
      </c>
      <c r="D93" s="260"/>
      <c r="E93" s="260"/>
      <c r="F93" s="599"/>
    </row>
    <row r="94" spans="1:6" s="244" customFormat="1" ht="38.25" hidden="1" customHeight="1">
      <c r="A94" s="238">
        <v>934</v>
      </c>
      <c r="B94" s="239" t="s">
        <v>459</v>
      </c>
      <c r="C94" s="248" t="s">
        <v>537</v>
      </c>
      <c r="D94" s="403"/>
      <c r="E94" s="403"/>
      <c r="F94" s="786"/>
    </row>
    <row r="95" spans="1:6" s="244" customFormat="1" ht="63" hidden="1" customHeight="1">
      <c r="A95" s="238">
        <v>934</v>
      </c>
      <c r="B95" s="239" t="s">
        <v>459</v>
      </c>
      <c r="C95" s="248" t="s">
        <v>799</v>
      </c>
      <c r="D95" s="403"/>
      <c r="E95" s="403"/>
      <c r="F95" s="786"/>
    </row>
    <row r="96" spans="1:6" s="244" customFormat="1" ht="33" hidden="1" customHeight="1">
      <c r="A96" s="238">
        <v>934</v>
      </c>
      <c r="B96" s="493" t="s">
        <v>459</v>
      </c>
      <c r="C96" s="248" t="s">
        <v>931</v>
      </c>
      <c r="D96" s="260"/>
      <c r="E96" s="260"/>
      <c r="F96" s="599"/>
    </row>
    <row r="97" spans="1:10" s="244" customFormat="1" ht="31.5" hidden="1" customHeight="1">
      <c r="A97" s="238">
        <v>934</v>
      </c>
      <c r="B97" s="239" t="s">
        <v>459</v>
      </c>
      <c r="C97" s="248" t="s">
        <v>788</v>
      </c>
      <c r="D97" s="403">
        <v>0</v>
      </c>
      <c r="E97" s="403">
        <v>0</v>
      </c>
      <c r="F97" s="786"/>
    </row>
    <row r="98" spans="1:10" s="244" customFormat="1" ht="31.5" hidden="1" customHeight="1">
      <c r="A98" s="238">
        <v>934</v>
      </c>
      <c r="B98" s="572" t="s">
        <v>459</v>
      </c>
      <c r="C98" s="248" t="s">
        <v>758</v>
      </c>
      <c r="D98" s="260">
        <v>0</v>
      </c>
      <c r="E98" s="260">
        <v>0</v>
      </c>
      <c r="F98" s="599"/>
    </row>
    <row r="99" spans="1:10" s="244" customFormat="1" ht="54.75" hidden="1" customHeight="1">
      <c r="A99" s="238">
        <v>934</v>
      </c>
      <c r="B99" s="493" t="s">
        <v>486</v>
      </c>
      <c r="C99" s="248" t="s">
        <v>487</v>
      </c>
      <c r="D99" s="260"/>
      <c r="E99" s="260"/>
      <c r="F99" s="599"/>
    </row>
    <row r="100" spans="1:10" s="244" customFormat="1" ht="51.75" hidden="1" customHeight="1">
      <c r="A100" s="315"/>
      <c r="B100" s="140" t="s">
        <v>484</v>
      </c>
      <c r="C100" s="399" t="s">
        <v>469</v>
      </c>
      <c r="D100" s="451">
        <f>SUM(D101:D111)</f>
        <v>0</v>
      </c>
      <c r="E100" s="451">
        <f>SUM(E101:E111)</f>
        <v>0</v>
      </c>
      <c r="F100" s="787"/>
    </row>
    <row r="101" spans="1:10" s="244" customFormat="1" ht="51.75" hidden="1" customHeight="1">
      <c r="A101" s="450">
        <v>934</v>
      </c>
      <c r="B101" s="452" t="s">
        <v>455</v>
      </c>
      <c r="C101" s="248" t="s">
        <v>755</v>
      </c>
      <c r="D101" s="260"/>
      <c r="E101" s="260"/>
      <c r="F101" s="599"/>
      <c r="G101" s="234"/>
      <c r="H101" s="125"/>
      <c r="I101" s="125"/>
      <c r="J101" s="125"/>
    </row>
    <row r="102" spans="1:10" s="244" customFormat="1" ht="51.75" hidden="1" customHeight="1">
      <c r="A102" s="450">
        <v>934</v>
      </c>
      <c r="B102" s="452" t="s">
        <v>455</v>
      </c>
      <c r="C102" s="248" t="s">
        <v>755</v>
      </c>
      <c r="D102" s="260"/>
      <c r="E102" s="260"/>
      <c r="F102" s="599"/>
      <c r="G102" s="234"/>
      <c r="H102" s="125"/>
      <c r="I102" s="125"/>
      <c r="J102" s="125"/>
    </row>
    <row r="103" spans="1:10" ht="47.25" hidden="1">
      <c r="A103" s="450">
        <v>934</v>
      </c>
      <c r="B103" s="452" t="s">
        <v>455</v>
      </c>
      <c r="C103" s="248" t="s">
        <v>1020</v>
      </c>
      <c r="D103" s="260"/>
      <c r="E103" s="260"/>
      <c r="F103" s="599"/>
    </row>
    <row r="104" spans="1:10" ht="47.25" hidden="1">
      <c r="A104" s="450">
        <v>934</v>
      </c>
      <c r="B104" s="452" t="s">
        <v>455</v>
      </c>
      <c r="C104" s="248" t="s">
        <v>1020</v>
      </c>
      <c r="D104" s="260"/>
      <c r="E104" s="260"/>
      <c r="F104" s="599"/>
    </row>
    <row r="105" spans="1:10" ht="31.5" hidden="1" customHeight="1">
      <c r="A105" s="450">
        <v>934</v>
      </c>
      <c r="B105" s="452" t="s">
        <v>455</v>
      </c>
      <c r="C105" s="248" t="s">
        <v>1055</v>
      </c>
      <c r="D105" s="260"/>
      <c r="E105" s="260"/>
      <c r="F105" s="599"/>
    </row>
    <row r="106" spans="1:10" ht="35.25" hidden="1" customHeight="1">
      <c r="A106" s="450">
        <v>934</v>
      </c>
      <c r="B106" s="452" t="s">
        <v>455</v>
      </c>
      <c r="C106" s="248" t="s">
        <v>756</v>
      </c>
      <c r="D106" s="260"/>
      <c r="E106" s="260"/>
      <c r="F106" s="599"/>
    </row>
    <row r="107" spans="1:10" ht="31.5" hidden="1" customHeight="1">
      <c r="A107" s="450">
        <v>934</v>
      </c>
      <c r="B107" s="452" t="s">
        <v>455</v>
      </c>
      <c r="C107" s="248" t="s">
        <v>756</v>
      </c>
      <c r="D107" s="260"/>
      <c r="E107" s="260"/>
      <c r="F107" s="599"/>
    </row>
    <row r="108" spans="1:10" ht="47.25" hidden="1">
      <c r="A108" s="450">
        <v>934</v>
      </c>
      <c r="B108" s="452" t="s">
        <v>455</v>
      </c>
      <c r="C108" s="248" t="s">
        <v>1055</v>
      </c>
      <c r="D108" s="260"/>
      <c r="E108" s="260"/>
      <c r="F108" s="599"/>
    </row>
    <row r="109" spans="1:10" ht="78.75" hidden="1">
      <c r="A109" s="450">
        <v>936</v>
      </c>
      <c r="B109" s="452" t="s">
        <v>1021</v>
      </c>
      <c r="C109" s="248" t="s">
        <v>757</v>
      </c>
      <c r="D109" s="260"/>
      <c r="E109" s="260"/>
      <c r="F109" s="599"/>
    </row>
    <row r="110" spans="1:10" ht="63" hidden="1">
      <c r="A110" s="450">
        <v>936</v>
      </c>
      <c r="B110" s="452" t="s">
        <v>1021</v>
      </c>
      <c r="C110" s="248" t="s">
        <v>1056</v>
      </c>
      <c r="D110" s="260"/>
      <c r="E110" s="260"/>
      <c r="F110" s="599"/>
    </row>
    <row r="111" spans="1:10" ht="47.25" hidden="1" customHeight="1">
      <c r="A111" s="450">
        <v>936</v>
      </c>
      <c r="B111" s="452" t="s">
        <v>1021</v>
      </c>
      <c r="C111" s="248" t="s">
        <v>1057</v>
      </c>
      <c r="D111" s="260"/>
      <c r="E111" s="260"/>
      <c r="F111" s="599"/>
    </row>
    <row r="112" spans="1:10" ht="47.25" hidden="1" customHeight="1">
      <c r="A112" s="401"/>
      <c r="B112" s="402" t="s">
        <v>483</v>
      </c>
      <c r="C112" s="399" t="s">
        <v>52</v>
      </c>
      <c r="D112" s="262">
        <f>SUM(D113:D131)</f>
        <v>0</v>
      </c>
      <c r="E112" s="262">
        <f>SUM(E113:E131)</f>
        <v>0</v>
      </c>
      <c r="F112" s="600"/>
    </row>
    <row r="113" spans="1:13" ht="47.25" hidden="1">
      <c r="A113" s="139">
        <v>931</v>
      </c>
      <c r="B113" s="400" t="s">
        <v>456</v>
      </c>
      <c r="C113" s="173" t="s">
        <v>883</v>
      </c>
      <c r="D113" s="260"/>
      <c r="E113" s="260"/>
      <c r="F113" s="599"/>
    </row>
    <row r="114" spans="1:13" ht="47.25" hidden="1">
      <c r="A114" s="139">
        <v>934</v>
      </c>
      <c r="B114" s="400" t="s">
        <v>456</v>
      </c>
      <c r="C114" s="248" t="s">
        <v>1020</v>
      </c>
      <c r="D114" s="260"/>
      <c r="E114" s="260"/>
      <c r="F114" s="599"/>
    </row>
    <row r="115" spans="1:13" ht="47.25" hidden="1">
      <c r="A115" s="139">
        <v>934</v>
      </c>
      <c r="B115" s="400" t="s">
        <v>456</v>
      </c>
      <c r="C115" s="248" t="s">
        <v>1020</v>
      </c>
      <c r="D115" s="260"/>
      <c r="E115" s="260"/>
      <c r="F115" s="599"/>
    </row>
    <row r="116" spans="1:13" ht="47.25" hidden="1">
      <c r="A116" s="139">
        <v>934</v>
      </c>
      <c r="B116" s="400" t="s">
        <v>456</v>
      </c>
      <c r="C116" s="173" t="s">
        <v>1022</v>
      </c>
      <c r="D116" s="260"/>
      <c r="E116" s="260"/>
      <c r="F116" s="599"/>
    </row>
    <row r="117" spans="1:13" ht="47.25" hidden="1">
      <c r="A117" s="139">
        <v>934</v>
      </c>
      <c r="B117" s="400" t="s">
        <v>456</v>
      </c>
      <c r="C117" s="173" t="s">
        <v>1022</v>
      </c>
      <c r="D117" s="260"/>
      <c r="E117" s="260"/>
      <c r="F117" s="599"/>
    </row>
    <row r="118" spans="1:13" ht="63" hidden="1">
      <c r="A118" s="139">
        <v>934</v>
      </c>
      <c r="B118" s="400" t="s">
        <v>456</v>
      </c>
      <c r="C118" s="173" t="s">
        <v>882</v>
      </c>
      <c r="D118" s="260"/>
      <c r="E118" s="260"/>
      <c r="F118" s="599"/>
    </row>
    <row r="119" spans="1:13" ht="63" hidden="1">
      <c r="A119" s="139">
        <v>934</v>
      </c>
      <c r="B119" s="400" t="s">
        <v>456</v>
      </c>
      <c r="C119" s="173" t="s">
        <v>882</v>
      </c>
      <c r="D119" s="260"/>
      <c r="E119" s="260"/>
      <c r="F119" s="599"/>
    </row>
    <row r="120" spans="1:13" ht="63" hidden="1" customHeight="1">
      <c r="A120" s="139">
        <v>934</v>
      </c>
      <c r="B120" s="400" t="s">
        <v>456</v>
      </c>
      <c r="C120" s="173" t="s">
        <v>1023</v>
      </c>
      <c r="D120" s="260"/>
      <c r="E120" s="260"/>
      <c r="F120" s="599"/>
    </row>
    <row r="121" spans="1:13" ht="52.5" hidden="1" customHeight="1">
      <c r="A121" s="139">
        <v>934</v>
      </c>
      <c r="B121" s="400" t="s">
        <v>456</v>
      </c>
      <c r="C121" s="173" t="s">
        <v>884</v>
      </c>
      <c r="D121" s="403"/>
      <c r="E121" s="403"/>
      <c r="F121" s="786"/>
    </row>
    <row r="122" spans="1:13" ht="39" hidden="1" customHeight="1">
      <c r="A122" s="139">
        <v>934</v>
      </c>
      <c r="B122" s="400" t="s">
        <v>456</v>
      </c>
      <c r="C122" s="173" t="s">
        <v>1024</v>
      </c>
      <c r="D122" s="403"/>
      <c r="E122" s="403"/>
      <c r="F122" s="786"/>
    </row>
    <row r="123" spans="1:13" ht="39" hidden="1" customHeight="1">
      <c r="A123" s="139">
        <v>936</v>
      </c>
      <c r="B123" s="400" t="s">
        <v>456</v>
      </c>
      <c r="C123" s="248" t="s">
        <v>1056</v>
      </c>
      <c r="D123" s="403"/>
      <c r="E123" s="403"/>
      <c r="F123" s="786"/>
    </row>
    <row r="124" spans="1:13" ht="85.5" hidden="1" customHeight="1">
      <c r="A124" s="139">
        <v>936</v>
      </c>
      <c r="B124" s="400" t="s">
        <v>456</v>
      </c>
      <c r="C124" s="248" t="s">
        <v>757</v>
      </c>
      <c r="D124" s="260"/>
      <c r="E124" s="260"/>
      <c r="F124" s="599"/>
      <c r="M124" s="312"/>
    </row>
    <row r="125" spans="1:13" ht="47.25" hidden="1">
      <c r="A125" s="139">
        <v>936</v>
      </c>
      <c r="B125" s="400" t="s">
        <v>456</v>
      </c>
      <c r="C125" s="248" t="s">
        <v>1025</v>
      </c>
      <c r="D125" s="260"/>
      <c r="E125" s="260"/>
      <c r="F125" s="599"/>
      <c r="M125" s="312"/>
    </row>
    <row r="126" spans="1:13" ht="47.25" hidden="1" customHeight="1">
      <c r="A126" s="139">
        <v>936</v>
      </c>
      <c r="B126" s="400" t="s">
        <v>456</v>
      </c>
      <c r="C126" s="248" t="s">
        <v>885</v>
      </c>
      <c r="D126" s="260"/>
      <c r="E126" s="260"/>
      <c r="F126" s="599"/>
      <c r="M126" s="312"/>
    </row>
    <row r="127" spans="1:13" ht="78.75" hidden="1" customHeight="1">
      <c r="A127" s="124">
        <v>936</v>
      </c>
      <c r="B127" s="400" t="s">
        <v>456</v>
      </c>
      <c r="C127" s="248" t="s">
        <v>757</v>
      </c>
      <c r="D127" s="260"/>
      <c r="E127" s="260"/>
      <c r="F127" s="599"/>
      <c r="M127" s="312"/>
    </row>
    <row r="128" spans="1:13" ht="47.25" hidden="1" customHeight="1">
      <c r="A128" s="124">
        <v>936</v>
      </c>
      <c r="B128" s="400" t="s">
        <v>456</v>
      </c>
      <c r="C128" s="248" t="s">
        <v>895</v>
      </c>
      <c r="D128" s="260"/>
      <c r="E128" s="260"/>
      <c r="F128" s="599"/>
      <c r="M128" s="312"/>
    </row>
    <row r="129" spans="1:13" ht="47.25" hidden="1" customHeight="1">
      <c r="A129" s="450">
        <v>936</v>
      </c>
      <c r="B129" s="452" t="s">
        <v>455</v>
      </c>
      <c r="C129" s="248" t="s">
        <v>803</v>
      </c>
      <c r="D129" s="260"/>
      <c r="E129" s="260"/>
      <c r="F129" s="599"/>
      <c r="M129" s="312"/>
    </row>
    <row r="130" spans="1:13" ht="63" hidden="1" customHeight="1">
      <c r="A130" s="124">
        <v>936</v>
      </c>
      <c r="B130" s="400" t="s">
        <v>456</v>
      </c>
      <c r="C130" s="173" t="s">
        <v>886</v>
      </c>
      <c r="D130" s="403"/>
      <c r="E130" s="403"/>
      <c r="F130" s="786"/>
    </row>
    <row r="131" spans="1:13" ht="53.25" hidden="1" customHeight="1">
      <c r="A131" s="124">
        <v>936</v>
      </c>
      <c r="B131" s="400" t="s">
        <v>456</v>
      </c>
      <c r="C131" s="248" t="s">
        <v>887</v>
      </c>
      <c r="D131" s="119"/>
      <c r="E131" s="119"/>
      <c r="F131" s="729"/>
    </row>
    <row r="134" spans="1:13" ht="31.5">
      <c r="G134" s="254" t="s">
        <v>343</v>
      </c>
      <c r="H134" s="254" t="s">
        <v>88</v>
      </c>
      <c r="I134" s="254" t="s">
        <v>197</v>
      </c>
    </row>
    <row r="135" spans="1:13">
      <c r="G135" s="601">
        <v>4</v>
      </c>
      <c r="H135" s="601">
        <v>5</v>
      </c>
      <c r="I135" s="601">
        <v>6</v>
      </c>
    </row>
    <row r="136" spans="1:13">
      <c r="G136" s="797">
        <v>276.5</v>
      </c>
      <c r="H136" s="798">
        <v>32.299999999999997</v>
      </c>
      <c r="I136" s="351">
        <f>E136+G136+H136</f>
        <v>308.8</v>
      </c>
    </row>
    <row r="137" spans="1:13">
      <c r="G137" s="797">
        <v>276.5</v>
      </c>
      <c r="H137" s="798">
        <v>32.299999999999997</v>
      </c>
      <c r="I137" s="351">
        <f t="shared" ref="I137:I152" si="2">E137+G137+H137</f>
        <v>308.8</v>
      </c>
    </row>
    <row r="138" spans="1:13">
      <c r="G138" s="797">
        <v>276.5</v>
      </c>
      <c r="H138" s="798">
        <v>32.299999999999997</v>
      </c>
      <c r="I138" s="351">
        <f t="shared" si="2"/>
        <v>308.8</v>
      </c>
    </row>
    <row r="139" spans="1:13">
      <c r="G139" s="797">
        <v>276.5</v>
      </c>
      <c r="H139" s="798">
        <v>32.299999999999997</v>
      </c>
      <c r="I139" s="351">
        <f t="shared" si="2"/>
        <v>308.8</v>
      </c>
    </row>
    <row r="140" spans="1:13">
      <c r="G140" s="797">
        <v>276.5</v>
      </c>
      <c r="H140" s="798">
        <v>32.299999999999997</v>
      </c>
      <c r="I140" s="351">
        <f t="shared" si="2"/>
        <v>308.8</v>
      </c>
    </row>
    <row r="141" spans="1:13">
      <c r="G141" s="797">
        <v>276.5</v>
      </c>
      <c r="H141" s="798">
        <v>32.299999999999997</v>
      </c>
      <c r="I141" s="351">
        <f t="shared" si="2"/>
        <v>308.8</v>
      </c>
    </row>
    <row r="142" spans="1:13">
      <c r="G142" s="797">
        <v>276.5</v>
      </c>
      <c r="H142" s="798">
        <v>32.299999999999997</v>
      </c>
      <c r="I142" s="351">
        <f t="shared" si="2"/>
        <v>308.8</v>
      </c>
    </row>
    <row r="143" spans="1:13">
      <c r="G143" s="797">
        <v>276.5</v>
      </c>
      <c r="H143" s="798">
        <v>32.299999999999997</v>
      </c>
      <c r="I143" s="351">
        <f t="shared" si="2"/>
        <v>308.8</v>
      </c>
    </row>
    <row r="144" spans="1:13">
      <c r="G144" s="797">
        <v>276.5</v>
      </c>
      <c r="H144" s="798">
        <v>32.299999999999997</v>
      </c>
      <c r="I144" s="351">
        <f t="shared" si="2"/>
        <v>308.8</v>
      </c>
    </row>
    <row r="145" spans="7:9">
      <c r="G145" s="797">
        <v>276.5</v>
      </c>
      <c r="H145" s="798">
        <v>32.299999999999997</v>
      </c>
      <c r="I145" s="351">
        <f t="shared" si="2"/>
        <v>308.8</v>
      </c>
    </row>
    <row r="146" spans="7:9">
      <c r="G146" s="797">
        <v>276.5</v>
      </c>
      <c r="H146" s="798">
        <v>32.299999999999997</v>
      </c>
      <c r="I146" s="351">
        <f t="shared" si="2"/>
        <v>308.8</v>
      </c>
    </row>
    <row r="147" spans="7:9">
      <c r="G147" s="797">
        <v>276.5</v>
      </c>
      <c r="H147" s="798">
        <v>32.299999999999997</v>
      </c>
      <c r="I147" s="351">
        <f t="shared" si="2"/>
        <v>308.8</v>
      </c>
    </row>
    <row r="148" spans="7:9">
      <c r="G148" s="797">
        <v>276.5</v>
      </c>
      <c r="H148" s="798">
        <v>32.299999999999997</v>
      </c>
      <c r="I148" s="351">
        <f t="shared" si="2"/>
        <v>308.8</v>
      </c>
    </row>
    <row r="149" spans="7:9">
      <c r="G149" s="797">
        <v>276.5</v>
      </c>
      <c r="H149" s="798">
        <v>32.299999999999997</v>
      </c>
      <c r="I149" s="351">
        <f t="shared" si="2"/>
        <v>308.8</v>
      </c>
    </row>
    <row r="150" spans="7:9">
      <c r="G150" s="797">
        <v>276.5</v>
      </c>
      <c r="H150" s="798">
        <v>32.299999999999997</v>
      </c>
      <c r="I150" s="351">
        <f t="shared" si="2"/>
        <v>308.8</v>
      </c>
    </row>
    <row r="151" spans="7:9">
      <c r="G151" s="797">
        <v>276.5</v>
      </c>
      <c r="H151" s="798">
        <v>32.299999999999997</v>
      </c>
      <c r="I151" s="351">
        <f t="shared" si="2"/>
        <v>308.8</v>
      </c>
    </row>
    <row r="152" spans="7:9">
      <c r="G152" s="313"/>
      <c r="H152" s="125">
        <v>36</v>
      </c>
      <c r="I152" s="351">
        <f t="shared" si="2"/>
        <v>36</v>
      </c>
    </row>
    <row r="153" spans="7:9">
      <c r="G153" s="311">
        <f>SUM(G136:G152)</f>
        <v>4424</v>
      </c>
      <c r="H153" s="311">
        <f>SUM(H136:H152)</f>
        <v>552.80000000000007</v>
      </c>
      <c r="I153" s="345">
        <f>E153+G153+H153</f>
        <v>4976.8</v>
      </c>
    </row>
  </sheetData>
  <autoFilter ref="A9:D131"/>
  <mergeCells count="13">
    <mergeCell ref="E9:E10"/>
    <mergeCell ref="F9:F10"/>
    <mergeCell ref="C1:D1"/>
    <mergeCell ref="A9:A10"/>
    <mergeCell ref="B9:B10"/>
    <mergeCell ref="C9:C10"/>
    <mergeCell ref="D9:D10"/>
    <mergeCell ref="C2:D2"/>
    <mergeCell ref="C3:D3"/>
    <mergeCell ref="C4:D4"/>
    <mergeCell ref="C5:D5"/>
    <mergeCell ref="C6:D6"/>
    <mergeCell ref="B7:D7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4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Y99"/>
  <sheetViews>
    <sheetView view="pageBreakPreview" topLeftCell="A13" zoomScale="80" zoomScaleSheetLayoutView="80" workbookViewId="0">
      <selection activeCell="E24" sqref="E24"/>
    </sheetView>
  </sheetViews>
  <sheetFormatPr defaultRowHeight="12.75"/>
  <cols>
    <col min="1" max="1" width="7.42578125" customWidth="1"/>
    <col min="2" max="2" width="29.7109375" customWidth="1"/>
    <col min="3" max="3" width="53.5703125" customWidth="1"/>
    <col min="4" max="4" width="17.7109375" customWidth="1"/>
    <col min="5" max="5" width="18.42578125" customWidth="1"/>
    <col min="6" max="6" width="17.7109375" customWidth="1"/>
    <col min="7" max="7" width="18.42578125" customWidth="1"/>
    <col min="8" max="8" width="19" style="604" customWidth="1"/>
    <col min="9" max="9" width="24" customWidth="1"/>
    <col min="11" max="17" width="13.42578125" customWidth="1"/>
    <col min="21" max="25" width="13.42578125" customWidth="1"/>
  </cols>
  <sheetData>
    <row r="1" spans="1:9" ht="15.75">
      <c r="A1" s="125"/>
      <c r="B1" s="125"/>
      <c r="C1" s="354"/>
      <c r="E1" s="677" t="s">
        <v>371</v>
      </c>
      <c r="G1" s="795" t="s">
        <v>371</v>
      </c>
    </row>
    <row r="2" spans="1:9" ht="15.75">
      <c r="A2" s="125"/>
      <c r="B2" s="125"/>
      <c r="C2" s="354"/>
      <c r="E2" s="354" t="s">
        <v>141</v>
      </c>
      <c r="G2" s="795" t="s">
        <v>141</v>
      </c>
    </row>
    <row r="3" spans="1:9" ht="15.75">
      <c r="A3" s="125"/>
      <c r="B3" s="125"/>
      <c r="C3" s="354"/>
      <c r="E3" s="354" t="s">
        <v>240</v>
      </c>
      <c r="G3" s="795" t="s">
        <v>240</v>
      </c>
    </row>
    <row r="4" spans="1:9" ht="15.75">
      <c r="A4" s="125"/>
      <c r="B4" s="125"/>
      <c r="C4" s="354"/>
      <c r="E4" s="653" t="s">
        <v>361</v>
      </c>
      <c r="G4" s="795" t="s">
        <v>361</v>
      </c>
    </row>
    <row r="5" spans="1:9" ht="15.75">
      <c r="A5" s="125"/>
      <c r="B5" s="125"/>
      <c r="C5" s="354"/>
      <c r="E5" s="766" t="s">
        <v>1195</v>
      </c>
      <c r="G5" s="795" t="s">
        <v>1195</v>
      </c>
    </row>
    <row r="6" spans="1:9" ht="15.75">
      <c r="A6" s="125"/>
      <c r="B6" s="125"/>
      <c r="C6" s="354"/>
      <c r="E6" s="766" t="s">
        <v>1196</v>
      </c>
      <c r="G6" s="795" t="s">
        <v>1196</v>
      </c>
    </row>
    <row r="7" spans="1:9" ht="15.75">
      <c r="A7" s="125"/>
      <c r="B7" s="125"/>
      <c r="C7" s="125"/>
    </row>
    <row r="8" spans="1:9" ht="31.5" customHeight="1">
      <c r="A8" s="125"/>
      <c r="B8" s="849" t="s">
        <v>1175</v>
      </c>
      <c r="C8" s="849"/>
      <c r="D8" s="849"/>
      <c r="F8" s="603"/>
    </row>
    <row r="9" spans="1:9" ht="15.75">
      <c r="A9" s="125"/>
      <c r="B9" s="125"/>
      <c r="C9" s="125"/>
    </row>
    <row r="10" spans="1:9" ht="54" customHeight="1">
      <c r="A10" s="846" t="s">
        <v>239</v>
      </c>
      <c r="B10" s="846" t="s">
        <v>74</v>
      </c>
      <c r="C10" s="846" t="s">
        <v>146</v>
      </c>
      <c r="D10" s="850" t="s">
        <v>936</v>
      </c>
      <c r="E10" s="850" t="s">
        <v>1174</v>
      </c>
      <c r="F10" s="850" t="s">
        <v>936</v>
      </c>
      <c r="G10" s="850" t="s">
        <v>1174</v>
      </c>
      <c r="H10" s="853"/>
      <c r="I10" s="792"/>
    </row>
    <row r="11" spans="1:9" ht="24" customHeight="1">
      <c r="A11" s="846"/>
      <c r="B11" s="846"/>
      <c r="C11" s="846"/>
      <c r="D11" s="850"/>
      <c r="E11" s="850"/>
      <c r="F11" s="850"/>
      <c r="G11" s="850"/>
      <c r="H11" s="853"/>
      <c r="I11" s="792"/>
    </row>
    <row r="12" spans="1:9" ht="47.25">
      <c r="A12" s="235">
        <v>0</v>
      </c>
      <c r="B12" s="236" t="s">
        <v>106</v>
      </c>
      <c r="C12" s="237" t="s">
        <v>30</v>
      </c>
      <c r="D12" s="259">
        <f>D13+D16+D46+D73</f>
        <v>982942.70000000007</v>
      </c>
      <c r="E12" s="259">
        <f>E13+E16+E46+E73</f>
        <v>963230.39999999991</v>
      </c>
      <c r="F12" s="259">
        <f>F13+F16+F46+F73</f>
        <v>919881.9</v>
      </c>
      <c r="G12" s="259">
        <f>G13+G16+G46+G73</f>
        <v>823721.29999999993</v>
      </c>
      <c r="H12" s="793">
        <f>D12-F12</f>
        <v>63060.800000000047</v>
      </c>
      <c r="I12" s="793">
        <f>E12-G12</f>
        <v>139509.09999999998</v>
      </c>
    </row>
    <row r="13" spans="1:9" ht="47.25">
      <c r="A13" s="235">
        <v>931</v>
      </c>
      <c r="B13" s="236" t="s">
        <v>367</v>
      </c>
      <c r="C13" s="237" t="s">
        <v>173</v>
      </c>
      <c r="D13" s="259">
        <f>D14</f>
        <v>73143.7</v>
      </c>
      <c r="E13" s="259">
        <f>E14+E15</f>
        <v>54001.3</v>
      </c>
      <c r="F13" s="259">
        <f>F14</f>
        <v>121935.8</v>
      </c>
      <c r="G13" s="259">
        <f>G14+G15</f>
        <v>105702.39999999999</v>
      </c>
      <c r="H13" s="793">
        <f t="shared" ref="H13:H76" si="0">D13-F13</f>
        <v>-48792.100000000006</v>
      </c>
      <c r="I13" s="793">
        <f t="shared" ref="I13:I76" si="1">E13-G13</f>
        <v>-51701.099999999991</v>
      </c>
    </row>
    <row r="14" spans="1:9" ht="47.25">
      <c r="A14" s="238">
        <v>931</v>
      </c>
      <c r="B14" s="239" t="s">
        <v>450</v>
      </c>
      <c r="C14" s="240" t="s">
        <v>505</v>
      </c>
      <c r="D14" s="261">
        <v>73143.7</v>
      </c>
      <c r="E14" s="261">
        <v>54001.3</v>
      </c>
      <c r="F14" s="261">
        <v>121935.8</v>
      </c>
      <c r="G14" s="261">
        <v>105702.39999999999</v>
      </c>
      <c r="H14" s="793">
        <f t="shared" si="0"/>
        <v>-48792.100000000006</v>
      </c>
      <c r="I14" s="793">
        <f t="shared" si="1"/>
        <v>-51701.099999999991</v>
      </c>
    </row>
    <row r="15" spans="1:9" ht="47.25" hidden="1" customHeight="1">
      <c r="A15" s="238">
        <v>931</v>
      </c>
      <c r="B15" s="239" t="s">
        <v>365</v>
      </c>
      <c r="C15" s="240" t="s">
        <v>401</v>
      </c>
      <c r="D15" s="238"/>
      <c r="E15" s="260"/>
      <c r="F15" s="238"/>
      <c r="G15" s="260"/>
      <c r="H15" s="793">
        <f t="shared" si="0"/>
        <v>0</v>
      </c>
      <c r="I15" s="793">
        <f t="shared" si="1"/>
        <v>0</v>
      </c>
    </row>
    <row r="16" spans="1:9" ht="63">
      <c r="A16" s="235">
        <v>0</v>
      </c>
      <c r="B16" s="236" t="s">
        <v>368</v>
      </c>
      <c r="C16" s="237" t="s">
        <v>174</v>
      </c>
      <c r="D16" s="259">
        <f>SUM(D17:D45)</f>
        <v>460070.60000000003</v>
      </c>
      <c r="E16" s="259">
        <f>SUM(E17:E45)</f>
        <v>459063.9</v>
      </c>
      <c r="F16" s="259">
        <f>SUM(F17:F45)</f>
        <v>351180.2</v>
      </c>
      <c r="G16" s="259">
        <f>SUM(G17:G45)</f>
        <v>310111</v>
      </c>
      <c r="H16" s="793">
        <f t="shared" si="0"/>
        <v>108890.40000000002</v>
      </c>
      <c r="I16" s="793">
        <f t="shared" si="1"/>
        <v>148952.90000000002</v>
      </c>
    </row>
    <row r="17" spans="1:11" ht="63">
      <c r="A17" s="241">
        <v>934</v>
      </c>
      <c r="B17" s="340" t="s">
        <v>452</v>
      </c>
      <c r="C17" s="242" t="s">
        <v>506</v>
      </c>
      <c r="D17" s="451">
        <v>606.6</v>
      </c>
      <c r="E17" s="451">
        <v>606.6</v>
      </c>
      <c r="F17" s="451">
        <v>606.6</v>
      </c>
      <c r="G17" s="451">
        <v>606.6</v>
      </c>
      <c r="H17" s="793">
        <f t="shared" si="0"/>
        <v>0</v>
      </c>
      <c r="I17" s="793">
        <f t="shared" si="1"/>
        <v>0</v>
      </c>
    </row>
    <row r="18" spans="1:11" ht="151.5" customHeight="1">
      <c r="A18" s="241">
        <v>934</v>
      </c>
      <c r="B18" s="340" t="s">
        <v>452</v>
      </c>
      <c r="C18" s="242" t="s">
        <v>507</v>
      </c>
      <c r="D18" s="451">
        <v>8553.2000000000007</v>
      </c>
      <c r="E18" s="451">
        <v>8553.2000000000007</v>
      </c>
      <c r="F18" s="451">
        <v>8553.2000000000007</v>
      </c>
      <c r="G18" s="451">
        <v>8553.2000000000007</v>
      </c>
      <c r="H18" s="793">
        <f t="shared" si="0"/>
        <v>0</v>
      </c>
      <c r="I18" s="793">
        <f t="shared" si="1"/>
        <v>0</v>
      </c>
    </row>
    <row r="19" spans="1:11" ht="86.25" hidden="1" customHeight="1">
      <c r="A19" s="241">
        <v>934</v>
      </c>
      <c r="B19" s="246" t="s">
        <v>452</v>
      </c>
      <c r="C19" s="240" t="s">
        <v>1038</v>
      </c>
      <c r="D19" s="260"/>
      <c r="E19" s="260"/>
      <c r="F19" s="260"/>
      <c r="G19" s="260"/>
      <c r="H19" s="793">
        <f t="shared" si="0"/>
        <v>0</v>
      </c>
      <c r="I19" s="793">
        <f t="shared" si="1"/>
        <v>0</v>
      </c>
    </row>
    <row r="20" spans="1:11" ht="63">
      <c r="A20" s="241">
        <v>934</v>
      </c>
      <c r="B20" s="340" t="s">
        <v>452</v>
      </c>
      <c r="C20" s="242" t="s">
        <v>1242</v>
      </c>
      <c r="D20" s="451">
        <v>149</v>
      </c>
      <c r="E20" s="451">
        <v>149</v>
      </c>
      <c r="F20" s="451">
        <v>158</v>
      </c>
      <c r="G20" s="451">
        <v>158</v>
      </c>
      <c r="H20" s="793">
        <f t="shared" si="0"/>
        <v>-9</v>
      </c>
      <c r="I20" s="793">
        <f t="shared" si="1"/>
        <v>-9</v>
      </c>
    </row>
    <row r="21" spans="1:11" ht="47.25" hidden="1" customHeight="1">
      <c r="A21" s="241">
        <v>934</v>
      </c>
      <c r="B21" s="340" t="s">
        <v>452</v>
      </c>
      <c r="C21" s="242" t="s">
        <v>430</v>
      </c>
      <c r="D21" s="260"/>
      <c r="E21" s="260"/>
      <c r="F21" s="260"/>
      <c r="G21" s="260"/>
      <c r="H21" s="793">
        <f t="shared" si="0"/>
        <v>0</v>
      </c>
      <c r="I21" s="793">
        <f t="shared" si="1"/>
        <v>0</v>
      </c>
    </row>
    <row r="22" spans="1:11" ht="47.25">
      <c r="A22" s="241">
        <v>934</v>
      </c>
      <c r="B22" s="340" t="s">
        <v>452</v>
      </c>
      <c r="C22" s="242" t="s">
        <v>1078</v>
      </c>
      <c r="D22" s="451">
        <v>30091.200000000001</v>
      </c>
      <c r="E22" s="451">
        <v>30091.200000000001</v>
      </c>
      <c r="F22" s="451">
        <v>30091.200000000001</v>
      </c>
      <c r="G22" s="451">
        <v>30091.200000000001</v>
      </c>
      <c r="H22" s="793">
        <f t="shared" si="0"/>
        <v>0</v>
      </c>
      <c r="I22" s="793">
        <f t="shared" si="1"/>
        <v>0</v>
      </c>
    </row>
    <row r="23" spans="1:11" ht="136.5" hidden="1" customHeight="1">
      <c r="A23" s="241">
        <v>934</v>
      </c>
      <c r="B23" s="340" t="s">
        <v>452</v>
      </c>
      <c r="C23" s="242" t="s">
        <v>501</v>
      </c>
      <c r="D23" s="260"/>
      <c r="E23" s="260"/>
      <c r="F23" s="260"/>
      <c r="G23" s="260"/>
      <c r="H23" s="793">
        <f t="shared" si="0"/>
        <v>0</v>
      </c>
      <c r="I23" s="793">
        <f t="shared" si="1"/>
        <v>0</v>
      </c>
    </row>
    <row r="24" spans="1:11" ht="63">
      <c r="A24" s="241">
        <v>937</v>
      </c>
      <c r="B24" s="340" t="s">
        <v>452</v>
      </c>
      <c r="C24" s="654" t="s">
        <v>864</v>
      </c>
      <c r="D24" s="451">
        <v>0</v>
      </c>
      <c r="E24" s="451">
        <v>240</v>
      </c>
      <c r="F24" s="451">
        <v>240</v>
      </c>
      <c r="G24" s="451">
        <v>240</v>
      </c>
      <c r="H24" s="793">
        <f t="shared" si="0"/>
        <v>-240</v>
      </c>
      <c r="I24" s="793">
        <f t="shared" si="1"/>
        <v>0</v>
      </c>
    </row>
    <row r="25" spans="1:11" ht="15.75" customHeight="1">
      <c r="A25" s="241">
        <v>937</v>
      </c>
      <c r="B25" s="340" t="s">
        <v>802</v>
      </c>
      <c r="C25" s="240" t="s">
        <v>769</v>
      </c>
      <c r="D25" s="788">
        <v>703</v>
      </c>
      <c r="E25" s="451">
        <v>688.2</v>
      </c>
      <c r="F25" s="788">
        <v>0</v>
      </c>
      <c r="G25" s="451">
        <v>0</v>
      </c>
      <c r="H25" s="793">
        <f t="shared" si="0"/>
        <v>703</v>
      </c>
      <c r="I25" s="793">
        <f t="shared" si="1"/>
        <v>688.2</v>
      </c>
      <c r="K25" t="s">
        <v>1239</v>
      </c>
    </row>
    <row r="26" spans="1:11" ht="63" hidden="1" customHeight="1">
      <c r="A26" s="241">
        <v>934</v>
      </c>
      <c r="B26" s="340" t="s">
        <v>452</v>
      </c>
      <c r="C26" s="654" t="s">
        <v>503</v>
      </c>
      <c r="D26" s="403"/>
      <c r="E26" s="260"/>
      <c r="F26" s="403"/>
      <c r="G26" s="260"/>
      <c r="H26" s="793">
        <f t="shared" si="0"/>
        <v>0</v>
      </c>
      <c r="I26" s="793">
        <f t="shared" si="1"/>
        <v>0</v>
      </c>
    </row>
    <row r="27" spans="1:11" ht="83.25" customHeight="1">
      <c r="A27" s="241">
        <v>934</v>
      </c>
      <c r="B27" s="246" t="s">
        <v>1010</v>
      </c>
      <c r="C27" s="242" t="s">
        <v>1095</v>
      </c>
      <c r="D27" s="788">
        <v>100000</v>
      </c>
      <c r="E27" s="451">
        <v>100000</v>
      </c>
      <c r="F27" s="788">
        <v>100000</v>
      </c>
      <c r="G27" s="451">
        <v>100000</v>
      </c>
      <c r="H27" s="793">
        <f t="shared" si="0"/>
        <v>0</v>
      </c>
      <c r="I27" s="793">
        <f t="shared" si="1"/>
        <v>0</v>
      </c>
    </row>
    <row r="28" spans="1:11" ht="47.25">
      <c r="A28" s="241">
        <v>936</v>
      </c>
      <c r="B28" s="340" t="s">
        <v>452</v>
      </c>
      <c r="C28" s="654" t="s">
        <v>1082</v>
      </c>
      <c r="D28" s="788">
        <v>623</v>
      </c>
      <c r="E28" s="451">
        <v>623</v>
      </c>
      <c r="F28" s="788">
        <v>623</v>
      </c>
      <c r="G28" s="451">
        <v>623</v>
      </c>
      <c r="H28" s="793">
        <f t="shared" si="0"/>
        <v>0</v>
      </c>
      <c r="I28" s="793">
        <f t="shared" si="1"/>
        <v>0</v>
      </c>
    </row>
    <row r="29" spans="1:11" ht="63">
      <c r="A29" s="241">
        <v>936</v>
      </c>
      <c r="B29" s="340" t="s">
        <v>452</v>
      </c>
      <c r="C29" s="242" t="s">
        <v>725</v>
      </c>
      <c r="D29" s="791">
        <v>12565.4</v>
      </c>
      <c r="E29" s="451">
        <v>12565.4</v>
      </c>
      <c r="F29" s="791">
        <v>11322.9</v>
      </c>
      <c r="G29" s="451">
        <v>11322.9</v>
      </c>
      <c r="H29" s="793">
        <f t="shared" si="0"/>
        <v>1242.5</v>
      </c>
      <c r="I29" s="793">
        <f t="shared" si="1"/>
        <v>1242.5</v>
      </c>
    </row>
    <row r="30" spans="1:11" ht="83.25" customHeight="1">
      <c r="A30" s="241">
        <v>936</v>
      </c>
      <c r="B30" s="246" t="s">
        <v>801</v>
      </c>
      <c r="C30" s="242" t="s">
        <v>1086</v>
      </c>
      <c r="D30" s="791">
        <v>27378.400000000001</v>
      </c>
      <c r="E30" s="451">
        <v>27270.799999999999</v>
      </c>
      <c r="F30" s="791">
        <v>26619.4</v>
      </c>
      <c r="G30" s="451">
        <v>0</v>
      </c>
      <c r="H30" s="793">
        <f t="shared" si="0"/>
        <v>759</v>
      </c>
      <c r="I30" s="793">
        <f t="shared" si="1"/>
        <v>27270.799999999999</v>
      </c>
    </row>
    <row r="31" spans="1:11" ht="83.25" hidden="1" customHeight="1">
      <c r="A31" s="241">
        <v>936</v>
      </c>
      <c r="B31" s="340" t="s">
        <v>452</v>
      </c>
      <c r="C31" s="242" t="s">
        <v>731</v>
      </c>
      <c r="D31" s="665"/>
      <c r="E31" s="260"/>
      <c r="F31" s="665"/>
      <c r="G31" s="260"/>
      <c r="H31" s="793">
        <f t="shared" si="0"/>
        <v>0</v>
      </c>
      <c r="I31" s="793">
        <f t="shared" si="1"/>
        <v>0</v>
      </c>
    </row>
    <row r="32" spans="1:11" ht="47.25">
      <c r="A32" s="241">
        <v>936</v>
      </c>
      <c r="B32" s="340" t="s">
        <v>452</v>
      </c>
      <c r="C32" s="242" t="s">
        <v>1241</v>
      </c>
      <c r="D32" s="791">
        <v>10916.6</v>
      </c>
      <c r="E32" s="451">
        <v>10916.6</v>
      </c>
      <c r="F32" s="791">
        <v>10916.6</v>
      </c>
      <c r="G32" s="451">
        <v>10916.6</v>
      </c>
      <c r="H32" s="793">
        <f t="shared" si="0"/>
        <v>0</v>
      </c>
      <c r="I32" s="793">
        <f t="shared" si="1"/>
        <v>0</v>
      </c>
    </row>
    <row r="33" spans="1:9" ht="83.25" customHeight="1">
      <c r="A33" s="241">
        <v>936</v>
      </c>
      <c r="B33" s="340" t="s">
        <v>452</v>
      </c>
      <c r="C33" s="341" t="s">
        <v>1243</v>
      </c>
      <c r="D33" s="788">
        <v>122321.3</v>
      </c>
      <c r="E33" s="451">
        <v>122321.3</v>
      </c>
      <c r="F33" s="788">
        <v>122321.3</v>
      </c>
      <c r="G33" s="451">
        <v>122321.3</v>
      </c>
      <c r="H33" s="793">
        <f t="shared" si="0"/>
        <v>0</v>
      </c>
      <c r="I33" s="793">
        <f t="shared" si="1"/>
        <v>0</v>
      </c>
    </row>
    <row r="34" spans="1:9" ht="102" customHeight="1">
      <c r="A34" s="241">
        <v>931</v>
      </c>
      <c r="B34" s="340" t="s">
        <v>452</v>
      </c>
      <c r="C34" s="655" t="s">
        <v>1240</v>
      </c>
      <c r="D34" s="791">
        <v>110181.8</v>
      </c>
      <c r="E34" s="451">
        <v>109057.5</v>
      </c>
      <c r="F34" s="791">
        <v>0</v>
      </c>
      <c r="G34" s="451">
        <v>0</v>
      </c>
      <c r="H34" s="793">
        <f t="shared" si="0"/>
        <v>110181.8</v>
      </c>
      <c r="I34" s="793">
        <f t="shared" si="1"/>
        <v>109057.5</v>
      </c>
    </row>
    <row r="35" spans="1:9" ht="78.75" hidden="1" customHeight="1">
      <c r="A35" s="241">
        <v>934</v>
      </c>
      <c r="B35" s="340" t="s">
        <v>460</v>
      </c>
      <c r="C35" s="242" t="s">
        <v>468</v>
      </c>
      <c r="D35" s="665"/>
      <c r="E35" s="260"/>
      <c r="F35" s="665"/>
      <c r="G35" s="260"/>
      <c r="H35" s="793">
        <f t="shared" si="0"/>
        <v>0</v>
      </c>
      <c r="I35" s="793">
        <f t="shared" si="1"/>
        <v>0</v>
      </c>
    </row>
    <row r="36" spans="1:9" ht="102" customHeight="1">
      <c r="A36" s="241">
        <v>934</v>
      </c>
      <c r="B36" s="340" t="s">
        <v>452</v>
      </c>
      <c r="C36" s="242" t="s">
        <v>540</v>
      </c>
      <c r="D36" s="791">
        <v>6530</v>
      </c>
      <c r="E36" s="451">
        <v>6530</v>
      </c>
      <c r="F36" s="791">
        <v>6530</v>
      </c>
      <c r="G36" s="451">
        <v>6530</v>
      </c>
      <c r="H36" s="793">
        <f t="shared" si="0"/>
        <v>0</v>
      </c>
      <c r="I36" s="793">
        <f t="shared" si="1"/>
        <v>0</v>
      </c>
    </row>
    <row r="37" spans="1:9" ht="31.5">
      <c r="A37" s="241">
        <v>934</v>
      </c>
      <c r="B37" s="340" t="s">
        <v>452</v>
      </c>
      <c r="C37" s="242" t="s">
        <v>515</v>
      </c>
      <c r="D37" s="791">
        <v>17305.400000000001</v>
      </c>
      <c r="E37" s="451">
        <v>17305.400000000001</v>
      </c>
      <c r="F37" s="791">
        <v>17305.400000000001</v>
      </c>
      <c r="G37" s="451">
        <v>17305.400000000001</v>
      </c>
      <c r="H37" s="793">
        <f t="shared" si="0"/>
        <v>0</v>
      </c>
      <c r="I37" s="793">
        <f t="shared" si="1"/>
        <v>0</v>
      </c>
    </row>
    <row r="38" spans="1:9" ht="47.25" hidden="1" customHeight="1">
      <c r="A38" s="241">
        <v>934</v>
      </c>
      <c r="B38" s="340" t="s">
        <v>461</v>
      </c>
      <c r="C38" s="242" t="s">
        <v>514</v>
      </c>
      <c r="D38" s="260"/>
      <c r="E38" s="260"/>
      <c r="F38" s="260"/>
      <c r="G38" s="260"/>
      <c r="H38" s="793">
        <f t="shared" si="0"/>
        <v>0</v>
      </c>
      <c r="I38" s="793">
        <f t="shared" si="1"/>
        <v>0</v>
      </c>
    </row>
    <row r="39" spans="1:9" ht="66" customHeight="1">
      <c r="A39" s="238">
        <v>934</v>
      </c>
      <c r="B39" s="246" t="s">
        <v>452</v>
      </c>
      <c r="C39" s="240" t="s">
        <v>875</v>
      </c>
      <c r="D39" s="451">
        <v>10393</v>
      </c>
      <c r="E39" s="451">
        <v>10393</v>
      </c>
      <c r="F39" s="451">
        <v>10626</v>
      </c>
      <c r="G39" s="451">
        <v>0</v>
      </c>
      <c r="H39" s="793">
        <f t="shared" si="0"/>
        <v>-233</v>
      </c>
      <c r="I39" s="793">
        <f t="shared" si="1"/>
        <v>10393</v>
      </c>
    </row>
    <row r="40" spans="1:9" ht="141.75">
      <c r="A40" s="241">
        <v>936</v>
      </c>
      <c r="B40" s="340" t="s">
        <v>452</v>
      </c>
      <c r="C40" s="242" t="s">
        <v>1096</v>
      </c>
      <c r="D40" s="451">
        <v>1652.7</v>
      </c>
      <c r="E40" s="451">
        <v>1652.7</v>
      </c>
      <c r="F40" s="451">
        <v>1342.8</v>
      </c>
      <c r="G40" s="451">
        <v>1342.8</v>
      </c>
      <c r="H40" s="793">
        <f t="shared" si="0"/>
        <v>309.90000000000009</v>
      </c>
      <c r="I40" s="793">
        <f t="shared" si="1"/>
        <v>309.90000000000009</v>
      </c>
    </row>
    <row r="41" spans="1:9" ht="31.5" hidden="1" customHeight="1">
      <c r="A41" s="241">
        <v>936</v>
      </c>
      <c r="B41" s="340" t="s">
        <v>1011</v>
      </c>
      <c r="C41" s="242" t="s">
        <v>865</v>
      </c>
      <c r="D41" s="260"/>
      <c r="E41" s="260"/>
      <c r="F41" s="260"/>
      <c r="G41" s="260"/>
      <c r="H41" s="793">
        <f t="shared" si="0"/>
        <v>0</v>
      </c>
      <c r="I41" s="793">
        <f t="shared" si="1"/>
        <v>0</v>
      </c>
    </row>
    <row r="42" spans="1:9" ht="63" hidden="1" customHeight="1">
      <c r="A42" s="238">
        <v>934</v>
      </c>
      <c r="B42" s="246" t="s">
        <v>1010</v>
      </c>
      <c r="C42" s="240" t="s">
        <v>945</v>
      </c>
      <c r="D42" s="260"/>
      <c r="E42" s="260"/>
      <c r="F42" s="260"/>
      <c r="G42" s="260"/>
      <c r="H42" s="793">
        <f t="shared" si="0"/>
        <v>0</v>
      </c>
      <c r="I42" s="793">
        <f t="shared" si="1"/>
        <v>0</v>
      </c>
    </row>
    <row r="43" spans="1:9" ht="63" hidden="1">
      <c r="A43" s="241">
        <v>934</v>
      </c>
      <c r="B43" s="340" t="s">
        <v>1009</v>
      </c>
      <c r="C43" s="240" t="s">
        <v>1002</v>
      </c>
      <c r="D43" s="260">
        <v>0</v>
      </c>
      <c r="E43" s="260">
        <v>0</v>
      </c>
      <c r="F43" s="260">
        <v>3823.8</v>
      </c>
      <c r="G43" s="260">
        <v>0</v>
      </c>
      <c r="H43" s="793">
        <f t="shared" si="0"/>
        <v>-3823.8</v>
      </c>
      <c r="I43" s="793">
        <f t="shared" si="1"/>
        <v>0</v>
      </c>
    </row>
    <row r="44" spans="1:9" ht="47.25" hidden="1" customHeight="1">
      <c r="A44" s="241">
        <v>937</v>
      </c>
      <c r="B44" s="340" t="s">
        <v>452</v>
      </c>
      <c r="C44" s="242" t="s">
        <v>796</v>
      </c>
      <c r="D44" s="260"/>
      <c r="E44" s="260"/>
      <c r="F44" s="260"/>
      <c r="G44" s="260"/>
      <c r="H44" s="793">
        <f t="shared" si="0"/>
        <v>0</v>
      </c>
      <c r="I44" s="793">
        <f t="shared" si="1"/>
        <v>0</v>
      </c>
    </row>
    <row r="45" spans="1:9" ht="31.5">
      <c r="A45" s="238">
        <v>934</v>
      </c>
      <c r="B45" s="246" t="s">
        <v>452</v>
      </c>
      <c r="C45" s="240" t="s">
        <v>1238</v>
      </c>
      <c r="D45" s="788">
        <v>100</v>
      </c>
      <c r="E45" s="451">
        <v>100</v>
      </c>
      <c r="F45" s="788">
        <v>100</v>
      </c>
      <c r="G45" s="451">
        <v>100</v>
      </c>
      <c r="H45" s="793">
        <f t="shared" si="0"/>
        <v>0</v>
      </c>
      <c r="I45" s="793">
        <f t="shared" si="1"/>
        <v>0</v>
      </c>
    </row>
    <row r="46" spans="1:9" ht="47.25">
      <c r="A46" s="235">
        <v>0</v>
      </c>
      <c r="B46" s="236" t="s">
        <v>369</v>
      </c>
      <c r="C46" s="249" t="s">
        <v>175</v>
      </c>
      <c r="D46" s="262">
        <f>SUM(D47:D72)</f>
        <v>406695.8</v>
      </c>
      <c r="E46" s="262">
        <f>SUM(E47:E72)</f>
        <v>406461.5</v>
      </c>
      <c r="F46" s="262">
        <f>SUM(F47:F72)</f>
        <v>403121.50000000006</v>
      </c>
      <c r="G46" s="262">
        <f>SUM(G47:G72)</f>
        <v>402801.3</v>
      </c>
      <c r="H46" s="793">
        <f t="shared" si="0"/>
        <v>3574.2999999999302</v>
      </c>
      <c r="I46" s="793">
        <f t="shared" si="1"/>
        <v>3660.2000000000116</v>
      </c>
    </row>
    <row r="47" spans="1:9" s="180" customFormat="1" ht="110.25">
      <c r="A47" s="241">
        <v>936</v>
      </c>
      <c r="B47" s="333" t="s">
        <v>466</v>
      </c>
      <c r="C47" s="242" t="s">
        <v>432</v>
      </c>
      <c r="D47" s="451">
        <v>5806.1</v>
      </c>
      <c r="E47" s="451">
        <v>5806.1</v>
      </c>
      <c r="F47" s="451">
        <v>5806.1</v>
      </c>
      <c r="G47" s="451">
        <v>5806.1</v>
      </c>
      <c r="H47" s="793">
        <f t="shared" si="0"/>
        <v>0</v>
      </c>
      <c r="I47" s="793">
        <f t="shared" si="1"/>
        <v>0</v>
      </c>
    </row>
    <row r="48" spans="1:9" s="180" customFormat="1" ht="63">
      <c r="A48" s="241">
        <v>934</v>
      </c>
      <c r="B48" s="333" t="s">
        <v>463</v>
      </c>
      <c r="C48" s="341" t="s">
        <v>431</v>
      </c>
      <c r="D48" s="451">
        <v>12.2</v>
      </c>
      <c r="E48" s="451">
        <v>95.5</v>
      </c>
      <c r="F48" s="451">
        <v>2.6</v>
      </c>
      <c r="G48" s="451">
        <v>0</v>
      </c>
      <c r="H48" s="793">
        <f t="shared" si="0"/>
        <v>9.6</v>
      </c>
      <c r="I48" s="793">
        <f t="shared" si="1"/>
        <v>95.5</v>
      </c>
    </row>
    <row r="49" spans="1:9" s="180" customFormat="1" ht="63">
      <c r="A49" s="241">
        <v>934</v>
      </c>
      <c r="B49" s="333" t="s">
        <v>453</v>
      </c>
      <c r="C49" s="655" t="s">
        <v>511</v>
      </c>
      <c r="D49" s="451">
        <v>320</v>
      </c>
      <c r="E49" s="260">
        <v>0</v>
      </c>
      <c r="F49" s="451">
        <v>320</v>
      </c>
      <c r="G49" s="260">
        <v>0</v>
      </c>
      <c r="H49" s="793">
        <f t="shared" si="0"/>
        <v>0</v>
      </c>
      <c r="I49" s="793">
        <f t="shared" si="1"/>
        <v>0</v>
      </c>
    </row>
    <row r="50" spans="1:9" s="180" customFormat="1" ht="63">
      <c r="A50" s="241">
        <v>934</v>
      </c>
      <c r="B50" s="333" t="s">
        <v>453</v>
      </c>
      <c r="C50" s="655" t="s">
        <v>511</v>
      </c>
      <c r="D50" s="451">
        <v>1.7</v>
      </c>
      <c r="E50" s="260">
        <v>0</v>
      </c>
      <c r="F50" s="451">
        <v>1.7</v>
      </c>
      <c r="G50" s="260">
        <v>0</v>
      </c>
      <c r="H50" s="793">
        <f t="shared" si="0"/>
        <v>0</v>
      </c>
      <c r="I50" s="793">
        <f t="shared" si="1"/>
        <v>0</v>
      </c>
    </row>
    <row r="51" spans="1:9" s="180" customFormat="1" ht="47.25">
      <c r="A51" s="241">
        <v>931</v>
      </c>
      <c r="B51" s="333" t="s">
        <v>453</v>
      </c>
      <c r="C51" s="341" t="s">
        <v>434</v>
      </c>
      <c r="D51" s="791">
        <v>104.2</v>
      </c>
      <c r="E51" s="451">
        <v>108.3</v>
      </c>
      <c r="F51" s="791">
        <v>104.2</v>
      </c>
      <c r="G51" s="451">
        <v>108.3</v>
      </c>
      <c r="H51" s="793">
        <f t="shared" si="0"/>
        <v>0</v>
      </c>
      <c r="I51" s="793">
        <f t="shared" si="1"/>
        <v>0</v>
      </c>
    </row>
    <row r="52" spans="1:9" s="180" customFormat="1" ht="110.25">
      <c r="A52" s="241">
        <v>934</v>
      </c>
      <c r="B52" s="333" t="s">
        <v>453</v>
      </c>
      <c r="C52" s="240" t="s">
        <v>1093</v>
      </c>
      <c r="D52" s="451">
        <v>587</v>
      </c>
      <c r="E52" s="451">
        <v>587</v>
      </c>
      <c r="F52" s="451">
        <v>587</v>
      </c>
      <c r="G52" s="451">
        <v>587</v>
      </c>
      <c r="H52" s="793">
        <f t="shared" si="0"/>
        <v>0</v>
      </c>
      <c r="I52" s="793">
        <f t="shared" si="1"/>
        <v>0</v>
      </c>
    </row>
    <row r="53" spans="1:9" s="180" customFormat="1" ht="236.25">
      <c r="A53" s="241">
        <v>934</v>
      </c>
      <c r="B53" s="333" t="s">
        <v>453</v>
      </c>
      <c r="C53" s="240" t="s">
        <v>1094</v>
      </c>
      <c r="D53" s="451">
        <v>228.5</v>
      </c>
      <c r="E53" s="451">
        <v>228.5</v>
      </c>
      <c r="F53" s="451">
        <v>228.5</v>
      </c>
      <c r="G53" s="451">
        <v>228.5</v>
      </c>
      <c r="H53" s="793">
        <f t="shared" si="0"/>
        <v>0</v>
      </c>
      <c r="I53" s="793">
        <f t="shared" si="1"/>
        <v>0</v>
      </c>
    </row>
    <row r="54" spans="1:9" s="180" customFormat="1" ht="94.5">
      <c r="A54" s="241">
        <v>934</v>
      </c>
      <c r="B54" s="333" t="s">
        <v>453</v>
      </c>
      <c r="C54" s="242" t="s">
        <v>435</v>
      </c>
      <c r="D54" s="451">
        <v>3.8</v>
      </c>
      <c r="E54" s="451">
        <v>3.8</v>
      </c>
      <c r="F54" s="451">
        <v>3.8</v>
      </c>
      <c r="G54" s="451">
        <v>3.8</v>
      </c>
      <c r="H54" s="793">
        <f t="shared" si="0"/>
        <v>0</v>
      </c>
      <c r="I54" s="793">
        <f t="shared" si="1"/>
        <v>0</v>
      </c>
    </row>
    <row r="55" spans="1:9" s="180" customFormat="1" ht="63">
      <c r="A55" s="241">
        <v>934</v>
      </c>
      <c r="B55" s="333" t="s">
        <v>453</v>
      </c>
      <c r="C55" s="242" t="s">
        <v>436</v>
      </c>
      <c r="D55" s="451">
        <v>2611.1999999999998</v>
      </c>
      <c r="E55" s="451">
        <v>2611.1999999999998</v>
      </c>
      <c r="F55" s="451">
        <v>2611.1999999999998</v>
      </c>
      <c r="G55" s="451">
        <v>2611.1999999999998</v>
      </c>
      <c r="H55" s="793">
        <f t="shared" si="0"/>
        <v>0</v>
      </c>
      <c r="I55" s="793">
        <f t="shared" si="1"/>
        <v>0</v>
      </c>
    </row>
    <row r="56" spans="1:9" s="180" customFormat="1" ht="63">
      <c r="A56" s="241">
        <v>934</v>
      </c>
      <c r="B56" s="333" t="s">
        <v>453</v>
      </c>
      <c r="C56" s="242" t="s">
        <v>512</v>
      </c>
      <c r="D56" s="451">
        <v>39.200000000000003</v>
      </c>
      <c r="E56" s="451">
        <v>39.200000000000003</v>
      </c>
      <c r="F56" s="451">
        <v>39.200000000000003</v>
      </c>
      <c r="G56" s="451">
        <v>39.200000000000003</v>
      </c>
      <c r="H56" s="793">
        <f t="shared" si="0"/>
        <v>0</v>
      </c>
      <c r="I56" s="793">
        <f t="shared" si="1"/>
        <v>0</v>
      </c>
    </row>
    <row r="57" spans="1:9" s="180" customFormat="1" ht="63">
      <c r="A57" s="241">
        <v>934</v>
      </c>
      <c r="B57" s="333" t="s">
        <v>453</v>
      </c>
      <c r="C57" s="242" t="s">
        <v>438</v>
      </c>
      <c r="D57" s="451">
        <v>326.60000000000002</v>
      </c>
      <c r="E57" s="451">
        <v>326.60000000000002</v>
      </c>
      <c r="F57" s="451">
        <v>326.60000000000002</v>
      </c>
      <c r="G57" s="451">
        <v>326.60000000000002</v>
      </c>
      <c r="H57" s="793">
        <f t="shared" si="0"/>
        <v>0</v>
      </c>
      <c r="I57" s="793">
        <f t="shared" si="1"/>
        <v>0</v>
      </c>
    </row>
    <row r="58" spans="1:9" s="180" customFormat="1" ht="78.75">
      <c r="A58" s="241">
        <v>934</v>
      </c>
      <c r="B58" s="333" t="s">
        <v>453</v>
      </c>
      <c r="C58" s="242" t="s">
        <v>510</v>
      </c>
      <c r="D58" s="451">
        <v>1078.7</v>
      </c>
      <c r="E58" s="451">
        <v>1078.7</v>
      </c>
      <c r="F58" s="451">
        <v>1618</v>
      </c>
      <c r="G58" s="451">
        <v>1618</v>
      </c>
      <c r="H58" s="793">
        <f t="shared" si="0"/>
        <v>-539.29999999999995</v>
      </c>
      <c r="I58" s="793">
        <f t="shared" si="1"/>
        <v>-539.29999999999995</v>
      </c>
    </row>
    <row r="59" spans="1:9" s="180" customFormat="1" ht="63">
      <c r="A59" s="241">
        <v>934</v>
      </c>
      <c r="B59" s="333" t="s">
        <v>453</v>
      </c>
      <c r="C59" s="242" t="s">
        <v>440</v>
      </c>
      <c r="D59" s="451">
        <v>241.8</v>
      </c>
      <c r="E59" s="451">
        <v>241.8</v>
      </c>
      <c r="F59" s="451">
        <v>241.8</v>
      </c>
      <c r="G59" s="451">
        <v>241.8</v>
      </c>
      <c r="H59" s="793">
        <f t="shared" si="0"/>
        <v>0</v>
      </c>
      <c r="I59" s="793">
        <f t="shared" si="1"/>
        <v>0</v>
      </c>
    </row>
    <row r="60" spans="1:9" s="180" customFormat="1" ht="63">
      <c r="A60" s="241">
        <v>934</v>
      </c>
      <c r="B60" s="333" t="s">
        <v>453</v>
      </c>
      <c r="C60" s="242" t="s">
        <v>509</v>
      </c>
      <c r="D60" s="451">
        <v>1053.5</v>
      </c>
      <c r="E60" s="451">
        <v>1053.5</v>
      </c>
      <c r="F60" s="451">
        <v>1053.5</v>
      </c>
      <c r="G60" s="451">
        <v>1053.5</v>
      </c>
      <c r="H60" s="793">
        <f t="shared" si="0"/>
        <v>0</v>
      </c>
      <c r="I60" s="793">
        <f t="shared" si="1"/>
        <v>0</v>
      </c>
    </row>
    <row r="61" spans="1:9" s="180" customFormat="1" ht="63">
      <c r="A61" s="241">
        <v>934</v>
      </c>
      <c r="B61" s="333" t="s">
        <v>453</v>
      </c>
      <c r="C61" s="242" t="s">
        <v>508</v>
      </c>
      <c r="D61" s="451">
        <v>2157.3000000000002</v>
      </c>
      <c r="E61" s="451">
        <v>2157.3000000000002</v>
      </c>
      <c r="F61" s="451">
        <v>2157.3000000000002</v>
      </c>
      <c r="G61" s="451">
        <v>2157.3000000000002</v>
      </c>
      <c r="H61" s="793">
        <f t="shared" si="0"/>
        <v>0</v>
      </c>
      <c r="I61" s="793">
        <f t="shared" si="1"/>
        <v>0</v>
      </c>
    </row>
    <row r="62" spans="1:9" s="180" customFormat="1" ht="78.75">
      <c r="A62" s="241">
        <v>934</v>
      </c>
      <c r="B62" s="333" t="s">
        <v>453</v>
      </c>
      <c r="C62" s="240" t="s">
        <v>1089</v>
      </c>
      <c r="D62" s="451">
        <v>244.4</v>
      </c>
      <c r="E62" s="451">
        <v>244.4</v>
      </c>
      <c r="F62" s="451">
        <v>244.4</v>
      </c>
      <c r="G62" s="451">
        <v>244.4</v>
      </c>
      <c r="H62" s="793">
        <f t="shared" si="0"/>
        <v>0</v>
      </c>
      <c r="I62" s="793">
        <f t="shared" si="1"/>
        <v>0</v>
      </c>
    </row>
    <row r="63" spans="1:9" s="180" customFormat="1" ht="78.75">
      <c r="A63" s="241">
        <v>934</v>
      </c>
      <c r="B63" s="333" t="s">
        <v>453</v>
      </c>
      <c r="C63" s="240" t="s">
        <v>1090</v>
      </c>
      <c r="D63" s="451">
        <v>36.700000000000003</v>
      </c>
      <c r="E63" s="451">
        <v>36.700000000000003</v>
      </c>
      <c r="F63" s="451">
        <v>36.700000000000003</v>
      </c>
      <c r="G63" s="451">
        <v>36.700000000000003</v>
      </c>
      <c r="H63" s="793">
        <f t="shared" si="0"/>
        <v>0</v>
      </c>
      <c r="I63" s="793">
        <f t="shared" si="1"/>
        <v>0</v>
      </c>
    </row>
    <row r="64" spans="1:9" s="180" customFormat="1" ht="78.75">
      <c r="A64" s="340">
        <v>934</v>
      </c>
      <c r="B64" s="333" t="s">
        <v>467</v>
      </c>
      <c r="C64" s="656" t="s">
        <v>754</v>
      </c>
      <c r="D64" s="451">
        <v>53.4</v>
      </c>
      <c r="E64" s="451">
        <v>53.4</v>
      </c>
      <c r="F64" s="451">
        <v>53.4</v>
      </c>
      <c r="G64" s="451">
        <v>53.4</v>
      </c>
      <c r="H64" s="793">
        <f t="shared" si="0"/>
        <v>0</v>
      </c>
      <c r="I64" s="793">
        <f t="shared" si="1"/>
        <v>0</v>
      </c>
    </row>
    <row r="65" spans="1:25" s="180" customFormat="1" ht="141.75">
      <c r="A65" s="241">
        <v>936</v>
      </c>
      <c r="B65" s="333" t="s">
        <v>453</v>
      </c>
      <c r="C65" s="242" t="s">
        <v>544</v>
      </c>
      <c r="D65" s="451">
        <v>87.2</v>
      </c>
      <c r="E65" s="451">
        <v>87.2</v>
      </c>
      <c r="F65" s="451">
        <v>87.2</v>
      </c>
      <c r="G65" s="451">
        <v>87.2</v>
      </c>
      <c r="H65" s="793">
        <f t="shared" si="0"/>
        <v>0</v>
      </c>
      <c r="I65" s="793">
        <f t="shared" si="1"/>
        <v>0</v>
      </c>
    </row>
    <row r="66" spans="1:25" s="180" customFormat="1" ht="78.75">
      <c r="A66" s="241">
        <v>936</v>
      </c>
      <c r="B66" s="333" t="s">
        <v>453</v>
      </c>
      <c r="C66" s="242" t="s">
        <v>513</v>
      </c>
      <c r="D66" s="451">
        <v>48.7</v>
      </c>
      <c r="E66" s="451">
        <v>48.7</v>
      </c>
      <c r="F66" s="451">
        <v>48.7</v>
      </c>
      <c r="G66" s="451">
        <v>48.7</v>
      </c>
      <c r="H66" s="793">
        <f t="shared" si="0"/>
        <v>0</v>
      </c>
      <c r="I66" s="793">
        <f t="shared" si="1"/>
        <v>0</v>
      </c>
    </row>
    <row r="67" spans="1:25" s="180" customFormat="1" ht="110.25">
      <c r="A67" s="241">
        <v>936</v>
      </c>
      <c r="B67" s="333" t="s">
        <v>453</v>
      </c>
      <c r="C67" s="242" t="s">
        <v>443</v>
      </c>
      <c r="D67" s="451">
        <v>292514.5</v>
      </c>
      <c r="E67" s="451">
        <v>292514.5</v>
      </c>
      <c r="F67" s="451">
        <v>288955.40000000002</v>
      </c>
      <c r="G67" s="451">
        <v>288955.40000000002</v>
      </c>
      <c r="H67" s="793">
        <f t="shared" si="0"/>
        <v>3559.0999999999767</v>
      </c>
      <c r="I67" s="793">
        <f t="shared" si="1"/>
        <v>3559.0999999999767</v>
      </c>
    </row>
    <row r="68" spans="1:25" s="180" customFormat="1" ht="315">
      <c r="A68" s="241">
        <v>936</v>
      </c>
      <c r="B68" s="333" t="s">
        <v>453</v>
      </c>
      <c r="C68" s="242" t="s">
        <v>869</v>
      </c>
      <c r="D68" s="451">
        <v>1500</v>
      </c>
      <c r="E68" s="451">
        <v>1500</v>
      </c>
      <c r="F68" s="451">
        <v>1500</v>
      </c>
      <c r="G68" s="451">
        <v>1500</v>
      </c>
      <c r="H68" s="793">
        <f t="shared" si="0"/>
        <v>0</v>
      </c>
      <c r="I68" s="793">
        <f t="shared" si="1"/>
        <v>0</v>
      </c>
    </row>
    <row r="69" spans="1:25" s="180" customFormat="1" ht="47.25">
      <c r="A69" s="241">
        <v>936</v>
      </c>
      <c r="B69" s="333" t="s">
        <v>453</v>
      </c>
      <c r="C69" s="242" t="s">
        <v>444</v>
      </c>
      <c r="D69" s="451">
        <v>89857.3</v>
      </c>
      <c r="E69" s="451">
        <v>89857.3</v>
      </c>
      <c r="F69" s="451">
        <v>89312.4</v>
      </c>
      <c r="G69" s="451">
        <v>89312.4</v>
      </c>
      <c r="H69" s="793">
        <f t="shared" si="0"/>
        <v>544.90000000000873</v>
      </c>
      <c r="I69" s="793">
        <f t="shared" si="1"/>
        <v>544.90000000000873</v>
      </c>
    </row>
    <row r="70" spans="1:25" s="180" customFormat="1" ht="99" customHeight="1">
      <c r="A70" s="340">
        <v>936</v>
      </c>
      <c r="B70" s="333" t="s">
        <v>467</v>
      </c>
      <c r="C70" s="242" t="s">
        <v>970</v>
      </c>
      <c r="D70" s="451">
        <v>4467.6000000000004</v>
      </c>
      <c r="E70" s="451">
        <v>4467.6000000000004</v>
      </c>
      <c r="F70" s="451">
        <v>4467.6000000000004</v>
      </c>
      <c r="G70" s="451">
        <v>4467.6000000000004</v>
      </c>
      <c r="H70" s="793">
        <f t="shared" si="0"/>
        <v>0</v>
      </c>
      <c r="I70" s="793">
        <f t="shared" si="1"/>
        <v>0</v>
      </c>
    </row>
    <row r="71" spans="1:25" s="180" customFormat="1" ht="94.5">
      <c r="A71" s="340">
        <v>936</v>
      </c>
      <c r="B71" s="333" t="s">
        <v>467</v>
      </c>
      <c r="C71" s="242" t="s">
        <v>970</v>
      </c>
      <c r="D71" s="451">
        <v>67</v>
      </c>
      <c r="E71" s="451">
        <v>67</v>
      </c>
      <c r="F71" s="451">
        <v>67</v>
      </c>
      <c r="G71" s="451">
        <v>67</v>
      </c>
      <c r="H71" s="793">
        <f t="shared" si="0"/>
        <v>0</v>
      </c>
      <c r="I71" s="793">
        <f t="shared" si="1"/>
        <v>0</v>
      </c>
    </row>
    <row r="72" spans="1:25" s="180" customFormat="1" ht="173.25">
      <c r="A72" s="241">
        <v>936</v>
      </c>
      <c r="B72" s="333" t="s">
        <v>467</v>
      </c>
      <c r="C72" s="654" t="s">
        <v>445</v>
      </c>
      <c r="D72" s="451">
        <v>3247.2</v>
      </c>
      <c r="E72" s="451">
        <v>3247.2</v>
      </c>
      <c r="F72" s="451">
        <v>3247.2</v>
      </c>
      <c r="G72" s="451">
        <v>3247.2</v>
      </c>
      <c r="H72" s="793">
        <f t="shared" si="0"/>
        <v>0</v>
      </c>
      <c r="I72" s="793">
        <f t="shared" si="1"/>
        <v>0</v>
      </c>
    </row>
    <row r="73" spans="1:25" ht="15.75">
      <c r="A73" s="235">
        <v>0</v>
      </c>
      <c r="B73" s="236" t="s">
        <v>370</v>
      </c>
      <c r="C73" s="251" t="s">
        <v>176</v>
      </c>
      <c r="D73" s="259">
        <f>SUM(D74:D78)</f>
        <v>43032.600000000006</v>
      </c>
      <c r="E73" s="259">
        <f>SUM(E74:E78)</f>
        <v>43703.700000000004</v>
      </c>
      <c r="F73" s="259">
        <f>SUM(F74:F78)</f>
        <v>43644.399999999994</v>
      </c>
      <c r="G73" s="259">
        <f>SUM(G74:G78)</f>
        <v>5106.6000000000004</v>
      </c>
      <c r="H73" s="793">
        <f t="shared" si="0"/>
        <v>-611.79999999998836</v>
      </c>
      <c r="I73" s="793">
        <f t="shared" si="1"/>
        <v>38597.100000000006</v>
      </c>
    </row>
    <row r="74" spans="1:25" ht="78.75">
      <c r="A74" s="238">
        <v>931</v>
      </c>
      <c r="B74" s="239" t="s">
        <v>454</v>
      </c>
      <c r="C74" s="248" t="s">
        <v>131</v>
      </c>
      <c r="D74" s="403">
        <v>5719</v>
      </c>
      <c r="E74" s="403">
        <v>5719</v>
      </c>
      <c r="F74" s="403">
        <v>4754.6000000000004</v>
      </c>
      <c r="G74" s="403">
        <v>4754.6000000000004</v>
      </c>
      <c r="H74" s="793">
        <f t="shared" si="0"/>
        <v>964.39999999999964</v>
      </c>
      <c r="I74" s="793">
        <f t="shared" si="1"/>
        <v>964.39999999999964</v>
      </c>
    </row>
    <row r="75" spans="1:25" ht="94.5" hidden="1" customHeight="1">
      <c r="A75" s="238">
        <v>934</v>
      </c>
      <c r="B75" s="238" t="s">
        <v>485</v>
      </c>
      <c r="C75" s="248" t="s">
        <v>1026</v>
      </c>
      <c r="D75" s="403"/>
      <c r="E75" s="403"/>
      <c r="F75" s="403"/>
      <c r="G75" s="403"/>
      <c r="H75" s="793">
        <f t="shared" si="0"/>
        <v>0</v>
      </c>
      <c r="I75" s="793">
        <f t="shared" si="1"/>
        <v>0</v>
      </c>
    </row>
    <row r="76" spans="1:25" ht="63">
      <c r="A76" s="238">
        <v>936</v>
      </c>
      <c r="B76" s="238" t="s">
        <v>543</v>
      </c>
      <c r="C76" s="242" t="s">
        <v>542</v>
      </c>
      <c r="D76" s="788">
        <v>33747.800000000003</v>
      </c>
      <c r="E76" s="451">
        <v>33747.800000000003</v>
      </c>
      <c r="F76" s="788">
        <v>35313.199999999997</v>
      </c>
      <c r="G76" s="451">
        <v>0</v>
      </c>
      <c r="H76" s="793">
        <f t="shared" si="0"/>
        <v>-1565.3999999999942</v>
      </c>
      <c r="I76" s="793">
        <f t="shared" si="1"/>
        <v>33747.800000000003</v>
      </c>
    </row>
    <row r="77" spans="1:25" ht="71.25" customHeight="1">
      <c r="A77" s="238">
        <v>936</v>
      </c>
      <c r="B77" s="239" t="s">
        <v>459</v>
      </c>
      <c r="C77" s="242" t="s">
        <v>960</v>
      </c>
      <c r="D77" s="788">
        <v>352</v>
      </c>
      <c r="E77" s="451">
        <v>352</v>
      </c>
      <c r="F77" s="788">
        <v>352</v>
      </c>
      <c r="G77" s="451">
        <v>352</v>
      </c>
      <c r="H77" s="793">
        <f t="shared" ref="H77:H78" si="2">D77-F77</f>
        <v>0</v>
      </c>
      <c r="I77" s="793">
        <f t="shared" ref="I77:I78" si="3">E77-G77</f>
        <v>0</v>
      </c>
    </row>
    <row r="78" spans="1:25" ht="63" customHeight="1">
      <c r="A78" s="238">
        <v>936</v>
      </c>
      <c r="B78" s="239" t="s">
        <v>996</v>
      </c>
      <c r="C78" s="242" t="s">
        <v>997</v>
      </c>
      <c r="D78" s="451">
        <v>3213.8</v>
      </c>
      <c r="E78" s="788">
        <v>3884.9</v>
      </c>
      <c r="F78" s="451">
        <v>3224.6</v>
      </c>
      <c r="G78" s="788">
        <v>0</v>
      </c>
      <c r="H78" s="793">
        <f t="shared" si="2"/>
        <v>-10.799999999999727</v>
      </c>
      <c r="I78" s="793">
        <f t="shared" si="3"/>
        <v>3884.9</v>
      </c>
      <c r="K78" s="851" t="s">
        <v>805</v>
      </c>
      <c r="L78" s="851"/>
      <c r="M78" s="851"/>
      <c r="N78" s="851"/>
      <c r="O78" s="851"/>
      <c r="P78" s="851"/>
      <c r="Q78" s="851"/>
      <c r="S78" s="851" t="s">
        <v>806</v>
      </c>
      <c r="T78" s="851"/>
      <c r="U78" s="851"/>
      <c r="V78" s="851"/>
      <c r="W78" s="851"/>
      <c r="X78" s="851"/>
      <c r="Y78" s="851"/>
    </row>
    <row r="79" spans="1:25">
      <c r="K79" s="852"/>
      <c r="L79" s="852"/>
      <c r="M79" s="852"/>
      <c r="N79" s="852"/>
      <c r="O79" s="852"/>
      <c r="P79" s="852"/>
      <c r="Q79" s="852"/>
      <c r="S79" s="852"/>
      <c r="T79" s="852"/>
      <c r="U79" s="852"/>
      <c r="V79" s="852"/>
      <c r="W79" s="852"/>
      <c r="X79" s="852"/>
      <c r="Y79" s="852"/>
    </row>
    <row r="80" spans="1:25" ht="31.5">
      <c r="K80" s="252" t="s">
        <v>21</v>
      </c>
      <c r="L80" s="252" t="s">
        <v>20</v>
      </c>
      <c r="M80" s="252" t="s">
        <v>420</v>
      </c>
      <c r="N80" s="253" t="s">
        <v>342</v>
      </c>
      <c r="O80" s="254" t="s">
        <v>343</v>
      </c>
      <c r="P80" s="254" t="s">
        <v>88</v>
      </c>
      <c r="Q80" s="254" t="s">
        <v>197</v>
      </c>
      <c r="S80" s="252" t="s">
        <v>21</v>
      </c>
      <c r="T80" s="252" t="s">
        <v>20</v>
      </c>
      <c r="U80" s="252" t="s">
        <v>420</v>
      </c>
      <c r="V80" s="253" t="s">
        <v>342</v>
      </c>
      <c r="W80" s="254" t="s">
        <v>343</v>
      </c>
      <c r="X80" s="254" t="s">
        <v>88</v>
      </c>
      <c r="Y80" s="254" t="s">
        <v>197</v>
      </c>
    </row>
    <row r="81" spans="11:25" ht="15.75">
      <c r="K81" s="255">
        <v>1</v>
      </c>
      <c r="L81" s="255">
        <v>2</v>
      </c>
      <c r="M81" s="255">
        <v>3</v>
      </c>
      <c r="N81" s="255">
        <v>4</v>
      </c>
      <c r="O81" s="255">
        <v>5</v>
      </c>
      <c r="P81" s="255">
        <v>6</v>
      </c>
      <c r="Q81" s="255">
        <v>7</v>
      </c>
      <c r="S81" s="255">
        <v>1</v>
      </c>
      <c r="T81" s="255">
        <v>2</v>
      </c>
      <c r="U81" s="255">
        <v>3</v>
      </c>
      <c r="V81" s="255">
        <v>4</v>
      </c>
      <c r="W81" s="255">
        <v>5</v>
      </c>
      <c r="X81" s="255">
        <v>6</v>
      </c>
      <c r="Y81" s="255">
        <v>7</v>
      </c>
    </row>
    <row r="82" spans="11:25" ht="15.75">
      <c r="K82" s="256">
        <v>1</v>
      </c>
      <c r="L82" s="256" t="s">
        <v>181</v>
      </c>
      <c r="M82" s="256"/>
      <c r="N82" s="350">
        <v>11.4</v>
      </c>
      <c r="O82" s="797">
        <v>276.5</v>
      </c>
      <c r="P82" s="798">
        <v>32.299999999999997</v>
      </c>
      <c r="Q82" s="351">
        <f>N82+O82+P82+M82</f>
        <v>320.2</v>
      </c>
      <c r="S82" s="256">
        <v>1</v>
      </c>
      <c r="T82" s="256" t="s">
        <v>181</v>
      </c>
      <c r="U82" s="256"/>
      <c r="V82" s="350">
        <v>11.4</v>
      </c>
      <c r="W82" s="313">
        <v>222.7</v>
      </c>
      <c r="X82" s="602">
        <v>25.8</v>
      </c>
      <c r="Y82" s="351">
        <f>V82+W82+X82+U82</f>
        <v>259.89999999999998</v>
      </c>
    </row>
    <row r="83" spans="11:25" ht="15.75">
      <c r="K83" s="256">
        <v>2</v>
      </c>
      <c r="L83" s="256" t="s">
        <v>182</v>
      </c>
      <c r="M83" s="256"/>
      <c r="N83" s="350">
        <v>27.5</v>
      </c>
      <c r="O83" s="797">
        <v>276.5</v>
      </c>
      <c r="P83" s="798">
        <v>32.299999999999997</v>
      </c>
      <c r="Q83" s="351">
        <f t="shared" ref="Q83:Q97" si="4">N83+O83+P83+M83</f>
        <v>336.3</v>
      </c>
      <c r="S83" s="256">
        <v>2</v>
      </c>
      <c r="T83" s="256" t="s">
        <v>182</v>
      </c>
      <c r="U83" s="256"/>
      <c r="V83" s="350">
        <v>27.5</v>
      </c>
      <c r="W83" s="313">
        <v>222.7</v>
      </c>
      <c r="X83" s="602">
        <f>X82</f>
        <v>25.8</v>
      </c>
      <c r="Y83" s="351">
        <f t="shared" ref="Y83:Y97" si="5">V83+W83+X83+U83</f>
        <v>276</v>
      </c>
    </row>
    <row r="84" spans="11:25" ht="15.75">
      <c r="K84" s="256">
        <v>3</v>
      </c>
      <c r="L84" s="256" t="s">
        <v>183</v>
      </c>
      <c r="M84" s="256"/>
      <c r="N84" s="350">
        <v>12.8</v>
      </c>
      <c r="O84" s="797">
        <v>276.5</v>
      </c>
      <c r="P84" s="798">
        <v>32.299999999999997</v>
      </c>
      <c r="Q84" s="351">
        <f t="shared" si="4"/>
        <v>321.60000000000002</v>
      </c>
      <c r="S84" s="256">
        <v>3</v>
      </c>
      <c r="T84" s="256" t="s">
        <v>183</v>
      </c>
      <c r="U84" s="256"/>
      <c r="V84" s="350">
        <v>12.8</v>
      </c>
      <c r="W84" s="313">
        <v>222.7</v>
      </c>
      <c r="X84" s="602">
        <f t="shared" ref="X84:X96" si="6">X83</f>
        <v>25.8</v>
      </c>
      <c r="Y84" s="351">
        <f t="shared" si="5"/>
        <v>261.3</v>
      </c>
    </row>
    <row r="85" spans="11:25" ht="15.75">
      <c r="K85" s="256">
        <v>4</v>
      </c>
      <c r="L85" s="256" t="s">
        <v>184</v>
      </c>
      <c r="M85" s="256"/>
      <c r="N85" s="350">
        <v>8.1999999999999993</v>
      </c>
      <c r="O85" s="797">
        <v>276.5</v>
      </c>
      <c r="P85" s="798">
        <v>32.299999999999997</v>
      </c>
      <c r="Q85" s="351">
        <f t="shared" si="4"/>
        <v>317</v>
      </c>
      <c r="S85" s="256">
        <v>4</v>
      </c>
      <c r="T85" s="256" t="s">
        <v>184</v>
      </c>
      <c r="U85" s="256"/>
      <c r="V85" s="350">
        <v>8.1999999999999993</v>
      </c>
      <c r="W85" s="313">
        <v>222.7</v>
      </c>
      <c r="X85" s="602">
        <v>25.8</v>
      </c>
      <c r="Y85" s="351">
        <f t="shared" si="5"/>
        <v>256.7</v>
      </c>
    </row>
    <row r="86" spans="11:25" ht="15.75">
      <c r="K86" s="256">
        <v>5</v>
      </c>
      <c r="L86" s="256" t="s">
        <v>185</v>
      </c>
      <c r="M86" s="256"/>
      <c r="N86" s="350">
        <v>26.7</v>
      </c>
      <c r="O86" s="797">
        <v>276.5</v>
      </c>
      <c r="P86" s="798">
        <v>32.299999999999997</v>
      </c>
      <c r="Q86" s="351">
        <f t="shared" si="4"/>
        <v>335.5</v>
      </c>
      <c r="S86" s="256">
        <v>5</v>
      </c>
      <c r="T86" s="256" t="s">
        <v>185</v>
      </c>
      <c r="U86" s="256"/>
      <c r="V86" s="350">
        <v>26.7</v>
      </c>
      <c r="W86" s="313">
        <v>222.7</v>
      </c>
      <c r="X86" s="602">
        <v>25.9</v>
      </c>
      <c r="Y86" s="351">
        <f t="shared" si="5"/>
        <v>275.29999999999995</v>
      </c>
    </row>
    <row r="87" spans="11:25" ht="15.75">
      <c r="K87" s="257">
        <v>6</v>
      </c>
      <c r="L87" s="257" t="s">
        <v>186</v>
      </c>
      <c r="M87" s="257"/>
      <c r="N87" s="350">
        <v>9.8000000000000007</v>
      </c>
      <c r="O87" s="797">
        <v>276.5</v>
      </c>
      <c r="P87" s="798">
        <v>32.299999999999997</v>
      </c>
      <c r="Q87" s="351">
        <f t="shared" si="4"/>
        <v>318.60000000000002</v>
      </c>
      <c r="S87" s="257">
        <v>6</v>
      </c>
      <c r="T87" s="257" t="s">
        <v>186</v>
      </c>
      <c r="U87" s="257"/>
      <c r="V87" s="350">
        <v>9.8000000000000007</v>
      </c>
      <c r="W87" s="313">
        <v>222.7</v>
      </c>
      <c r="X87" s="602">
        <v>25.8</v>
      </c>
      <c r="Y87" s="351">
        <f t="shared" si="5"/>
        <v>258.3</v>
      </c>
    </row>
    <row r="88" spans="11:25" ht="15.75">
      <c r="K88" s="257">
        <v>7</v>
      </c>
      <c r="L88" s="257" t="s">
        <v>187</v>
      </c>
      <c r="M88" s="257"/>
      <c r="N88" s="350">
        <v>7.7</v>
      </c>
      <c r="O88" s="797">
        <v>276.5</v>
      </c>
      <c r="P88" s="798">
        <v>32.299999999999997</v>
      </c>
      <c r="Q88" s="351">
        <f t="shared" si="4"/>
        <v>316.5</v>
      </c>
      <c r="S88" s="257">
        <v>7</v>
      </c>
      <c r="T88" s="257" t="s">
        <v>187</v>
      </c>
      <c r="U88" s="257"/>
      <c r="V88" s="350">
        <v>7.7</v>
      </c>
      <c r="W88" s="313">
        <v>222.7</v>
      </c>
      <c r="X88" s="602">
        <v>25.8</v>
      </c>
      <c r="Y88" s="351">
        <f t="shared" si="5"/>
        <v>256.2</v>
      </c>
    </row>
    <row r="89" spans="11:25" ht="15.75">
      <c r="K89" s="257">
        <v>8</v>
      </c>
      <c r="L89" s="257" t="s">
        <v>189</v>
      </c>
      <c r="M89" s="257"/>
      <c r="N89" s="350">
        <v>7.5</v>
      </c>
      <c r="O89" s="797">
        <v>276.5</v>
      </c>
      <c r="P89" s="798">
        <v>32.299999999999997</v>
      </c>
      <c r="Q89" s="351">
        <f t="shared" si="4"/>
        <v>316.3</v>
      </c>
      <c r="S89" s="257">
        <v>8</v>
      </c>
      <c r="T89" s="257" t="s">
        <v>189</v>
      </c>
      <c r="U89" s="257"/>
      <c r="V89" s="350">
        <v>7.5</v>
      </c>
      <c r="W89" s="313">
        <v>222.7</v>
      </c>
      <c r="X89" s="602">
        <f t="shared" si="6"/>
        <v>25.8</v>
      </c>
      <c r="Y89" s="351">
        <f t="shared" si="5"/>
        <v>256</v>
      </c>
    </row>
    <row r="90" spans="11:25" ht="15.75">
      <c r="K90" s="257">
        <v>9</v>
      </c>
      <c r="L90" s="257" t="s">
        <v>190</v>
      </c>
      <c r="M90" s="257"/>
      <c r="N90" s="350">
        <v>7.1</v>
      </c>
      <c r="O90" s="797">
        <v>276.5</v>
      </c>
      <c r="P90" s="798">
        <v>32.299999999999997</v>
      </c>
      <c r="Q90" s="351">
        <f t="shared" si="4"/>
        <v>315.90000000000003</v>
      </c>
      <c r="S90" s="257">
        <v>9</v>
      </c>
      <c r="T90" s="257" t="s">
        <v>190</v>
      </c>
      <c r="U90" s="257"/>
      <c r="V90" s="350">
        <v>7.1</v>
      </c>
      <c r="W90" s="313">
        <v>222.7</v>
      </c>
      <c r="X90" s="602">
        <v>25.8</v>
      </c>
      <c r="Y90" s="351">
        <f t="shared" si="5"/>
        <v>255.6</v>
      </c>
    </row>
    <row r="91" spans="11:25" ht="15.75">
      <c r="K91" s="257">
        <v>10</v>
      </c>
      <c r="L91" s="257" t="s">
        <v>188</v>
      </c>
      <c r="M91" s="257"/>
      <c r="N91" s="350">
        <v>20.8</v>
      </c>
      <c r="O91" s="797">
        <v>276.5</v>
      </c>
      <c r="P91" s="798">
        <v>32.299999999999997</v>
      </c>
      <c r="Q91" s="351">
        <f t="shared" si="4"/>
        <v>329.6</v>
      </c>
      <c r="S91" s="257">
        <v>10</v>
      </c>
      <c r="T91" s="257" t="s">
        <v>188</v>
      </c>
      <c r="U91" s="257"/>
      <c r="V91" s="350">
        <v>20.8</v>
      </c>
      <c r="W91" s="313">
        <v>222.7</v>
      </c>
      <c r="X91" s="602">
        <v>25.8</v>
      </c>
      <c r="Y91" s="351">
        <f t="shared" si="5"/>
        <v>269.3</v>
      </c>
    </row>
    <row r="92" spans="11:25" ht="15.75">
      <c r="K92" s="257">
        <v>11</v>
      </c>
      <c r="L92" s="257" t="s">
        <v>227</v>
      </c>
      <c r="M92" s="257"/>
      <c r="N92" s="350">
        <v>29.4</v>
      </c>
      <c r="O92" s="797">
        <v>276.5</v>
      </c>
      <c r="P92" s="798">
        <v>32.299999999999997</v>
      </c>
      <c r="Q92" s="351">
        <f t="shared" si="4"/>
        <v>338.2</v>
      </c>
      <c r="S92" s="257">
        <v>11</v>
      </c>
      <c r="T92" s="257" t="s">
        <v>227</v>
      </c>
      <c r="U92" s="257"/>
      <c r="V92" s="350">
        <v>29.4</v>
      </c>
      <c r="W92" s="313">
        <v>222.7</v>
      </c>
      <c r="X92" s="602">
        <v>25.9</v>
      </c>
      <c r="Y92" s="351">
        <f t="shared" si="5"/>
        <v>278</v>
      </c>
    </row>
    <row r="93" spans="11:25" ht="15.75">
      <c r="K93" s="257">
        <v>12</v>
      </c>
      <c r="L93" s="257" t="s">
        <v>191</v>
      </c>
      <c r="M93" s="257"/>
      <c r="N93" s="350">
        <v>35.799999999999997</v>
      </c>
      <c r="O93" s="797">
        <v>276.5</v>
      </c>
      <c r="P93" s="798">
        <v>32.299999999999997</v>
      </c>
      <c r="Q93" s="351">
        <f t="shared" si="4"/>
        <v>344.6</v>
      </c>
      <c r="S93" s="257">
        <v>12</v>
      </c>
      <c r="T93" s="257" t="s">
        <v>191</v>
      </c>
      <c r="U93" s="257"/>
      <c r="V93" s="350">
        <v>35.799999999999997</v>
      </c>
      <c r="W93" s="313">
        <v>222.7</v>
      </c>
      <c r="X93" s="602">
        <f t="shared" si="6"/>
        <v>25.9</v>
      </c>
      <c r="Y93" s="351">
        <f t="shared" si="5"/>
        <v>284.39999999999998</v>
      </c>
    </row>
    <row r="94" spans="11:25" ht="15.75">
      <c r="K94" s="257">
        <v>13</v>
      </c>
      <c r="L94" s="257" t="s">
        <v>192</v>
      </c>
      <c r="M94" s="257"/>
      <c r="N94" s="350">
        <v>38.4</v>
      </c>
      <c r="O94" s="797">
        <v>276.5</v>
      </c>
      <c r="P94" s="798">
        <v>32.299999999999997</v>
      </c>
      <c r="Q94" s="351">
        <f t="shared" si="4"/>
        <v>347.2</v>
      </c>
      <c r="S94" s="257">
        <v>13</v>
      </c>
      <c r="T94" s="257" t="s">
        <v>192</v>
      </c>
      <c r="U94" s="257"/>
      <c r="V94" s="350">
        <v>38.4</v>
      </c>
      <c r="W94" s="313">
        <v>222.7</v>
      </c>
      <c r="X94" s="602">
        <v>25.8</v>
      </c>
      <c r="Y94" s="351">
        <f t="shared" si="5"/>
        <v>286.89999999999998</v>
      </c>
    </row>
    <row r="95" spans="11:25" ht="15.75">
      <c r="K95" s="257">
        <v>14</v>
      </c>
      <c r="L95" s="257" t="s">
        <v>193</v>
      </c>
      <c r="M95" s="257"/>
      <c r="N95" s="350">
        <v>13</v>
      </c>
      <c r="O95" s="797">
        <v>276.5</v>
      </c>
      <c r="P95" s="798">
        <v>32.299999999999997</v>
      </c>
      <c r="Q95" s="351">
        <f t="shared" si="4"/>
        <v>321.8</v>
      </c>
      <c r="S95" s="257">
        <v>14</v>
      </c>
      <c r="T95" s="257" t="s">
        <v>193</v>
      </c>
      <c r="U95" s="257"/>
      <c r="V95" s="350">
        <v>13</v>
      </c>
      <c r="W95" s="313">
        <v>222.7</v>
      </c>
      <c r="X95" s="602">
        <v>25.8</v>
      </c>
      <c r="Y95" s="351">
        <f t="shared" si="5"/>
        <v>261.5</v>
      </c>
    </row>
    <row r="96" spans="11:25" ht="15.75">
      <c r="K96" s="257">
        <v>15</v>
      </c>
      <c r="L96" s="257" t="s">
        <v>194</v>
      </c>
      <c r="M96" s="257"/>
      <c r="N96" s="350">
        <v>15.7</v>
      </c>
      <c r="O96" s="797">
        <v>276.5</v>
      </c>
      <c r="P96" s="798">
        <v>32.299999999999997</v>
      </c>
      <c r="Q96" s="351">
        <f t="shared" si="4"/>
        <v>324.5</v>
      </c>
      <c r="S96" s="257">
        <v>15</v>
      </c>
      <c r="T96" s="257" t="s">
        <v>194</v>
      </c>
      <c r="U96" s="257"/>
      <c r="V96" s="350">
        <v>15.7</v>
      </c>
      <c r="W96" s="313">
        <v>222.7</v>
      </c>
      <c r="X96" s="602">
        <f t="shared" si="6"/>
        <v>25.8</v>
      </c>
      <c r="Y96" s="351">
        <f t="shared" si="5"/>
        <v>264.2</v>
      </c>
    </row>
    <row r="97" spans="11:25" ht="15.75">
      <c r="K97" s="257">
        <v>16</v>
      </c>
      <c r="L97" s="257" t="s">
        <v>195</v>
      </c>
      <c r="M97" s="257"/>
      <c r="N97" s="352">
        <v>57.3</v>
      </c>
      <c r="O97" s="797">
        <v>276.5</v>
      </c>
      <c r="P97" s="798">
        <v>32.299999999999997</v>
      </c>
      <c r="Q97" s="351">
        <f t="shared" si="4"/>
        <v>366.1</v>
      </c>
      <c r="S97" s="257">
        <v>16</v>
      </c>
      <c r="T97" s="257" t="s">
        <v>195</v>
      </c>
      <c r="U97" s="257"/>
      <c r="V97" s="352">
        <v>57.3</v>
      </c>
      <c r="W97" s="313">
        <v>222.7</v>
      </c>
      <c r="X97" s="313">
        <v>25.9</v>
      </c>
      <c r="Y97" s="351">
        <f t="shared" si="5"/>
        <v>305.89999999999998</v>
      </c>
    </row>
    <row r="98" spans="11:25" ht="15.75">
      <c r="K98" s="257">
        <v>17</v>
      </c>
      <c r="L98" s="257" t="s">
        <v>196</v>
      </c>
      <c r="M98" s="257"/>
      <c r="N98" s="386">
        <v>413.1</v>
      </c>
      <c r="O98" s="313"/>
      <c r="P98" s="125">
        <v>36</v>
      </c>
      <c r="Q98" s="204"/>
      <c r="S98" s="257">
        <v>17</v>
      </c>
      <c r="T98" s="257" t="s">
        <v>196</v>
      </c>
      <c r="U98" s="257"/>
      <c r="V98" s="386">
        <v>413.1</v>
      </c>
      <c r="W98" s="313"/>
      <c r="X98" s="313">
        <v>36</v>
      </c>
      <c r="Y98" s="204"/>
    </row>
    <row r="99" spans="11:25" ht="15.75">
      <c r="K99" s="258"/>
      <c r="L99" s="258" t="s">
        <v>197</v>
      </c>
      <c r="M99" s="311">
        <f>SUM(M82:M98)</f>
        <v>0</v>
      </c>
      <c r="N99" s="311">
        <f>SUM(N82:N98)</f>
        <v>742.2</v>
      </c>
      <c r="O99" s="311">
        <f>SUM(O82:O98)</f>
        <v>4424</v>
      </c>
      <c r="P99" s="311">
        <f>SUM(P82:P98)</f>
        <v>552.80000000000007</v>
      </c>
      <c r="Q99" s="345">
        <f>N99+O99+P99+M99</f>
        <v>5719</v>
      </c>
      <c r="S99" s="258"/>
      <c r="T99" s="258" t="s">
        <v>197</v>
      </c>
      <c r="U99" s="311">
        <f>SUM(U82:U98)</f>
        <v>0</v>
      </c>
      <c r="V99" s="311">
        <f>SUM(V82:V98)</f>
        <v>742.2</v>
      </c>
      <c r="W99" s="311">
        <f>SUM(W82:W98)</f>
        <v>3563.1999999999989</v>
      </c>
      <c r="X99" s="311">
        <f>SUM(X82:X98)</f>
        <v>449.2</v>
      </c>
      <c r="Y99" s="345">
        <f>V99+W99+X99+U99</f>
        <v>4754.5999999999985</v>
      </c>
    </row>
  </sheetData>
  <autoFilter ref="A10:H78"/>
  <mergeCells count="11">
    <mergeCell ref="K78:Q79"/>
    <mergeCell ref="S78:Y79"/>
    <mergeCell ref="E10:E11"/>
    <mergeCell ref="F10:F11"/>
    <mergeCell ref="G10:G11"/>
    <mergeCell ref="H10:H11"/>
    <mergeCell ref="A10:A11"/>
    <mergeCell ref="B10:B11"/>
    <mergeCell ref="C10:C11"/>
    <mergeCell ref="D10:D11"/>
    <mergeCell ref="B8:D8"/>
  </mergeCells>
  <pageMargins left="0.70866141732283472" right="0.70866141732283472" top="0.74803149606299213" bottom="0.74803149606299213" header="0.31496062992125984" footer="0.31496062992125984"/>
  <pageSetup paperSize="9" scale="4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G68"/>
  <sheetViews>
    <sheetView view="pageBreakPreview" zoomScale="80" zoomScaleNormal="80" zoomScaleSheetLayoutView="80" workbookViewId="0">
      <selection activeCell="A39" sqref="A39:C40"/>
    </sheetView>
  </sheetViews>
  <sheetFormatPr defaultRowHeight="15.75"/>
  <cols>
    <col min="1" max="1" width="70.85546875" style="44" customWidth="1"/>
    <col min="2" max="2" width="7.85546875" style="42" customWidth="1"/>
    <col min="3" max="3" width="12" style="42" customWidth="1"/>
    <col min="4" max="4" width="20.5703125" style="57" customWidth="1"/>
    <col min="5" max="5" width="22.140625" style="44" hidden="1" customWidth="1"/>
    <col min="6" max="6" width="18.7109375" style="39" customWidth="1"/>
    <col min="7" max="7" width="13.42578125" style="39" bestFit="1" customWidth="1"/>
    <col min="8" max="8" width="30.42578125" style="39" customWidth="1"/>
    <col min="9" max="16384" width="9.140625" style="39"/>
  </cols>
  <sheetData>
    <row r="1" spans="1:7">
      <c r="B1" s="856" t="s">
        <v>341</v>
      </c>
      <c r="C1" s="856"/>
      <c r="D1" s="856"/>
      <c r="E1" s="310"/>
    </row>
    <row r="2" spans="1:7">
      <c r="B2" s="856" t="s">
        <v>141</v>
      </c>
      <c r="C2" s="856"/>
      <c r="D2" s="856"/>
      <c r="E2" s="310"/>
    </row>
    <row r="3" spans="1:7">
      <c r="B3" s="856" t="s">
        <v>132</v>
      </c>
      <c r="C3" s="856"/>
      <c r="D3" s="856"/>
      <c r="E3" s="310"/>
    </row>
    <row r="4" spans="1:7">
      <c r="A4" s="856" t="s">
        <v>870</v>
      </c>
      <c r="B4" s="856"/>
      <c r="C4" s="856"/>
      <c r="D4" s="856"/>
      <c r="E4" s="310"/>
    </row>
    <row r="5" spans="1:7">
      <c r="A5" s="856" t="s">
        <v>1200</v>
      </c>
      <c r="B5" s="856"/>
      <c r="C5" s="856"/>
      <c r="D5" s="856"/>
      <c r="E5" s="310"/>
    </row>
    <row r="6" spans="1:7" ht="15.75" customHeight="1">
      <c r="A6" s="854" t="s">
        <v>1201</v>
      </c>
      <c r="B6" s="854"/>
      <c r="C6" s="854"/>
      <c r="D6" s="854"/>
      <c r="E6" s="2"/>
    </row>
    <row r="7" spans="1:7" ht="33" customHeight="1">
      <c r="A7" s="855" t="s">
        <v>1176</v>
      </c>
      <c r="B7" s="855"/>
      <c r="C7" s="855"/>
      <c r="D7" s="855"/>
    </row>
    <row r="8" spans="1:7">
      <c r="A8" s="211"/>
      <c r="B8" s="212"/>
      <c r="C8" s="212"/>
      <c r="D8" s="317" t="s">
        <v>105</v>
      </c>
    </row>
    <row r="9" spans="1:7" ht="63">
      <c r="A9" s="536" t="s">
        <v>146</v>
      </c>
      <c r="B9" s="536" t="s">
        <v>147</v>
      </c>
      <c r="C9" s="536" t="s">
        <v>148</v>
      </c>
      <c r="D9" s="537" t="s">
        <v>151</v>
      </c>
      <c r="E9" s="206" t="s">
        <v>19</v>
      </c>
    </row>
    <row r="10" spans="1:7">
      <c r="A10" s="45" t="s">
        <v>32</v>
      </c>
      <c r="B10" s="75" t="s">
        <v>152</v>
      </c>
      <c r="C10" s="75"/>
      <c r="D10" s="318">
        <f>D11+D12+D13+D15+D17+D18+D14+D16</f>
        <v>101541.477</v>
      </c>
      <c r="E10" s="318" t="e">
        <f>E11+E12+E13+E15+E17+E18+E14</f>
        <v>#REF!</v>
      </c>
      <c r="F10" s="166"/>
    </row>
    <row r="11" spans="1:7" s="43" customFormat="1" ht="31.5">
      <c r="A11" s="118" t="s">
        <v>33</v>
      </c>
      <c r="B11" s="68" t="s">
        <v>152</v>
      </c>
      <c r="C11" s="68" t="s">
        <v>153</v>
      </c>
      <c r="D11" s="167">
        <f>'пр.7 2024г'!G88</f>
        <v>3465.9879999999998</v>
      </c>
      <c r="E11" s="167" t="e">
        <f>'пр.7 2024г'!#REF!</f>
        <v>#REF!</v>
      </c>
    </row>
    <row r="12" spans="1:7" ht="47.25">
      <c r="A12" s="48" t="s">
        <v>272</v>
      </c>
      <c r="B12" s="68" t="s">
        <v>152</v>
      </c>
      <c r="C12" s="68" t="s">
        <v>155</v>
      </c>
      <c r="D12" s="167">
        <f>'пр.7 2024г'!G15</f>
        <v>3328.04</v>
      </c>
      <c r="E12" s="167" t="e">
        <f>'пр.7 2024г'!#REF!</f>
        <v>#REF!</v>
      </c>
    </row>
    <row r="13" spans="1:7" s="43" customFormat="1" ht="47.25">
      <c r="A13" s="118" t="s">
        <v>208</v>
      </c>
      <c r="B13" s="68" t="s">
        <v>152</v>
      </c>
      <c r="C13" s="68" t="s">
        <v>161</v>
      </c>
      <c r="D13" s="167">
        <f>'пр.7 2024г'!G96</f>
        <v>22528.056</v>
      </c>
      <c r="E13" s="167" t="e">
        <f>'пр.7 2024г'!#REF!</f>
        <v>#REF!</v>
      </c>
      <c r="F13" s="339"/>
    </row>
    <row r="14" spans="1:7">
      <c r="A14" s="48" t="s">
        <v>102</v>
      </c>
      <c r="B14" s="68" t="s">
        <v>152</v>
      </c>
      <c r="C14" s="68" t="s">
        <v>162</v>
      </c>
      <c r="D14" s="167">
        <f>'пр.7 2024г'!G122</f>
        <v>11.7</v>
      </c>
      <c r="E14" s="167" t="e">
        <f>'пр.7 2024г'!#REF!</f>
        <v>#REF!</v>
      </c>
    </row>
    <row r="15" spans="1:7" s="43" customFormat="1" ht="31.5">
      <c r="A15" s="118" t="s">
        <v>109</v>
      </c>
      <c r="B15" s="68" t="s">
        <v>152</v>
      </c>
      <c r="C15" s="68" t="s">
        <v>158</v>
      </c>
      <c r="D15" s="167">
        <f>'пр.7 2024г'!G58+'пр.7 2024г'!G34</f>
        <v>13430.593000000001</v>
      </c>
      <c r="E15" s="208" t="e">
        <f>#REF!+#REF!+#REF!+#REF!+#REF!</f>
        <v>#REF!</v>
      </c>
      <c r="F15" s="165"/>
      <c r="G15" s="339"/>
    </row>
    <row r="16" spans="1:7" s="43" customFormat="1" hidden="1">
      <c r="A16" s="118" t="s">
        <v>862</v>
      </c>
      <c r="B16" s="68" t="s">
        <v>152</v>
      </c>
      <c r="C16" s="68" t="s">
        <v>154</v>
      </c>
      <c r="D16" s="167">
        <f>'пр.7 2024г'!G128</f>
        <v>0</v>
      </c>
      <c r="E16" s="208"/>
      <c r="F16" s="165"/>
      <c r="G16" s="339"/>
    </row>
    <row r="17" spans="1:7" s="43" customFormat="1">
      <c r="A17" s="118" t="s">
        <v>170</v>
      </c>
      <c r="B17" s="68" t="s">
        <v>152</v>
      </c>
      <c r="C17" s="68" t="s">
        <v>160</v>
      </c>
      <c r="D17" s="81">
        <f>'пр.7 2024г'!G131</f>
        <v>500</v>
      </c>
      <c r="E17" s="208" t="e">
        <f>#REF!</f>
        <v>#REF!</v>
      </c>
    </row>
    <row r="18" spans="1:7" s="43" customFormat="1">
      <c r="A18" s="134" t="s">
        <v>167</v>
      </c>
      <c r="B18" s="68" t="s">
        <v>152</v>
      </c>
      <c r="C18" s="68" t="s">
        <v>178</v>
      </c>
      <c r="D18" s="81">
        <f>'пр.7 2024г'!G134</f>
        <v>58277.1</v>
      </c>
      <c r="E18" s="81" t="e">
        <f>'пр.7 2024г'!#REF!</f>
        <v>#REF!</v>
      </c>
      <c r="F18" s="339"/>
      <c r="G18" s="165"/>
    </row>
    <row r="19" spans="1:7" s="50" customFormat="1" ht="31.5">
      <c r="A19" s="45" t="s">
        <v>35</v>
      </c>
      <c r="B19" s="75" t="s">
        <v>155</v>
      </c>
      <c r="C19" s="75"/>
      <c r="D19" s="76">
        <f>D20</f>
        <v>442</v>
      </c>
      <c r="E19" s="76" t="e">
        <f t="shared" ref="E19" si="0">E20</f>
        <v>#REF!</v>
      </c>
    </row>
    <row r="20" spans="1:7" s="43" customFormat="1" ht="31.5">
      <c r="A20" s="118" t="s">
        <v>172</v>
      </c>
      <c r="B20" s="68" t="s">
        <v>155</v>
      </c>
      <c r="C20" s="68" t="s">
        <v>156</v>
      </c>
      <c r="D20" s="81">
        <f>'пр.7 2024г'!G171</f>
        <v>442</v>
      </c>
      <c r="E20" s="208" t="e">
        <f>#REF!</f>
        <v>#REF!</v>
      </c>
    </row>
    <row r="21" spans="1:7" s="50" customFormat="1">
      <c r="A21" s="45" t="s">
        <v>36</v>
      </c>
      <c r="B21" s="75" t="s">
        <v>161</v>
      </c>
      <c r="C21" s="75"/>
      <c r="D21" s="76">
        <f>D22+D23+D24</f>
        <v>103735.37166999999</v>
      </c>
      <c r="E21" s="76" t="e">
        <f>E22+E23+E24+#REF!</f>
        <v>#REF!</v>
      </c>
    </row>
    <row r="22" spans="1:7" s="43" customFormat="1">
      <c r="A22" s="118" t="s">
        <v>169</v>
      </c>
      <c r="B22" s="68" t="s">
        <v>161</v>
      </c>
      <c r="C22" s="68" t="s">
        <v>162</v>
      </c>
      <c r="D22" s="81">
        <f>'пр.7 2024г'!G179</f>
        <v>3453.2</v>
      </c>
      <c r="E22" s="208" t="e">
        <f>#REF!</f>
        <v>#REF!</v>
      </c>
    </row>
    <row r="23" spans="1:7" s="43" customFormat="1">
      <c r="A23" s="118" t="s">
        <v>206</v>
      </c>
      <c r="B23" s="68" t="s">
        <v>161</v>
      </c>
      <c r="C23" s="68" t="s">
        <v>156</v>
      </c>
      <c r="D23" s="81">
        <f>'пр.7 2024г'!G679</f>
        <v>82405.687999999995</v>
      </c>
      <c r="E23" s="208" t="e">
        <f>#REF!</f>
        <v>#REF!</v>
      </c>
    </row>
    <row r="24" spans="1:7" s="43" customFormat="1">
      <c r="A24" s="118" t="s">
        <v>25</v>
      </c>
      <c r="B24" s="68" t="s">
        <v>161</v>
      </c>
      <c r="C24" s="68" t="s">
        <v>159</v>
      </c>
      <c r="D24" s="81">
        <f>'пр.7 2024г'!G201+'пр.7 2024г'!G696</f>
        <v>17876.483670000001</v>
      </c>
      <c r="E24" s="208" t="e">
        <f>#REF!+#REF!+#REF!+#REF!+#REF!+#REF!+#REF!+#REF!</f>
        <v>#REF!</v>
      </c>
      <c r="F24" s="339"/>
    </row>
    <row r="25" spans="1:7" s="43" customFormat="1">
      <c r="A25" s="45" t="s">
        <v>37</v>
      </c>
      <c r="B25" s="75" t="s">
        <v>162</v>
      </c>
      <c r="C25" s="75"/>
      <c r="D25" s="76">
        <f>D27+D26</f>
        <v>15645.64156</v>
      </c>
      <c r="E25" s="76">
        <f t="shared" ref="E25" si="1">E27+E26</f>
        <v>0</v>
      </c>
    </row>
    <row r="26" spans="1:7" s="43" customFormat="1">
      <c r="A26" s="48" t="s">
        <v>427</v>
      </c>
      <c r="B26" s="68" t="s">
        <v>162</v>
      </c>
      <c r="C26" s="68" t="s">
        <v>153</v>
      </c>
      <c r="D26" s="81">
        <f>'пр.7 2024г'!G716</f>
        <v>10729.591839999999</v>
      </c>
      <c r="E26" s="208"/>
    </row>
    <row r="27" spans="1:7" s="43" customFormat="1">
      <c r="A27" s="118" t="s">
        <v>22</v>
      </c>
      <c r="B27" s="68" t="s">
        <v>162</v>
      </c>
      <c r="C27" s="68" t="s">
        <v>162</v>
      </c>
      <c r="D27" s="81">
        <f>'пр.7 2024г'!G227+'пр.7 2024г'!G723</f>
        <v>4916.04972</v>
      </c>
      <c r="E27" s="208"/>
      <c r="G27" s="339"/>
    </row>
    <row r="28" spans="1:7" ht="15.75" customHeight="1">
      <c r="A28" s="135" t="s">
        <v>129</v>
      </c>
      <c r="B28" s="75" t="s">
        <v>158</v>
      </c>
      <c r="C28" s="75"/>
      <c r="D28" s="76">
        <f>D29</f>
        <v>545.29999999999995</v>
      </c>
      <c r="E28" s="76" t="e">
        <f>#REF!</f>
        <v>#REF!</v>
      </c>
    </row>
    <row r="29" spans="1:7" ht="31.5" customHeight="1">
      <c r="A29" s="123" t="s">
        <v>933</v>
      </c>
      <c r="B29" s="68" t="s">
        <v>158</v>
      </c>
      <c r="C29" s="68" t="s">
        <v>162</v>
      </c>
      <c r="D29" s="81">
        <f>'пр.7 2024г'!G745</f>
        <v>545.29999999999995</v>
      </c>
      <c r="E29" s="208"/>
    </row>
    <row r="30" spans="1:7">
      <c r="A30" s="302" t="s">
        <v>38</v>
      </c>
      <c r="B30" s="301" t="s">
        <v>154</v>
      </c>
      <c r="C30" s="301"/>
      <c r="D30" s="318">
        <f>D31+D32+D34+D35+D36</f>
        <v>915464.77140000009</v>
      </c>
      <c r="E30" s="318" t="e">
        <f t="shared" ref="E30" si="2">E31+E32+E34+E35+E36</f>
        <v>#REF!</v>
      </c>
      <c r="F30" s="166">
        <f>F31+F32+F34+F35+F36</f>
        <v>22914.890820000001</v>
      </c>
    </row>
    <row r="31" spans="1:7" s="50" customFormat="1">
      <c r="A31" s="118" t="s">
        <v>306</v>
      </c>
      <c r="B31" s="68" t="s">
        <v>154</v>
      </c>
      <c r="C31" s="68" t="s">
        <v>152</v>
      </c>
      <c r="D31" s="167">
        <f>'пр.7 2024г'!G435+'пр.7 2024г'!G750</f>
        <v>152206.39828999998</v>
      </c>
      <c r="E31" s="208" t="e">
        <f>#REF!</f>
        <v>#REF!</v>
      </c>
      <c r="F31" s="565">
        <f>'пр.7 2024г'!G414</f>
        <v>130.05000000000001</v>
      </c>
      <c r="G31" s="353"/>
    </row>
    <row r="32" spans="1:7">
      <c r="A32" s="118" t="s">
        <v>199</v>
      </c>
      <c r="B32" s="68" t="s">
        <v>154</v>
      </c>
      <c r="C32" s="68" t="s">
        <v>153</v>
      </c>
      <c r="D32" s="167">
        <f>'пр.7 2024г'!G478</f>
        <v>647209.90617000009</v>
      </c>
      <c r="E32" s="208"/>
      <c r="F32" s="166">
        <f>'пр.7 2024г'!G471</f>
        <v>0</v>
      </c>
    </row>
    <row r="33" spans="1:7" ht="23.25" hidden="1" customHeight="1">
      <c r="A33" s="48" t="s">
        <v>267</v>
      </c>
      <c r="B33" s="68" t="s">
        <v>154</v>
      </c>
      <c r="C33" s="68" t="s">
        <v>153</v>
      </c>
      <c r="D33" s="81"/>
      <c r="E33" s="208"/>
      <c r="F33" s="166"/>
    </row>
    <row r="34" spans="1:7" s="7" customFormat="1">
      <c r="A34" s="133" t="s">
        <v>364</v>
      </c>
      <c r="B34" s="120" t="s">
        <v>154</v>
      </c>
      <c r="C34" s="120" t="s">
        <v>155</v>
      </c>
      <c r="D34" s="167">
        <f>'пр.7 2024г'!G555+'пр.7 2024г'!G234+'пр.7 2024г'!G757</f>
        <v>58838.744160000002</v>
      </c>
      <c r="E34" s="209"/>
      <c r="F34" s="566">
        <f>'пр.7 2024г'!G553+'пр.7 2024г'!G234</f>
        <v>22582.800000000003</v>
      </c>
    </row>
    <row r="35" spans="1:7" s="7" customFormat="1">
      <c r="A35" s="118" t="s">
        <v>300</v>
      </c>
      <c r="B35" s="68" t="s">
        <v>154</v>
      </c>
      <c r="C35" s="68" t="s">
        <v>154</v>
      </c>
      <c r="D35" s="81">
        <f>'пр.7 2024г'!G579+'пр.7 2024г'!G242</f>
        <v>11905.840819999999</v>
      </c>
      <c r="E35" s="209"/>
      <c r="F35" s="566">
        <f>'пр.7 2024г'!G576+'пр.7 2024г'!G242</f>
        <v>202.04082</v>
      </c>
      <c r="G35" s="443">
        <f>D35-F35</f>
        <v>11703.8</v>
      </c>
    </row>
    <row r="36" spans="1:7">
      <c r="A36" s="118" t="s">
        <v>308</v>
      </c>
      <c r="B36" s="68" t="s">
        <v>154</v>
      </c>
      <c r="C36" s="68" t="s">
        <v>156</v>
      </c>
      <c r="D36" s="81">
        <f>'пр.7 2024г'!G610</f>
        <v>45303.881960000006</v>
      </c>
      <c r="E36" s="208"/>
      <c r="F36" s="166">
        <f>'пр.7 2024г'!G604</f>
        <v>0</v>
      </c>
    </row>
    <row r="37" spans="1:7">
      <c r="A37" s="214" t="s">
        <v>39</v>
      </c>
      <c r="B37" s="271" t="s">
        <v>163</v>
      </c>
      <c r="C37" s="271"/>
      <c r="D37" s="94">
        <f>D38</f>
        <v>851929.14971000003</v>
      </c>
      <c r="E37" s="94">
        <f t="shared" ref="E37" si="3">E38</f>
        <v>0</v>
      </c>
    </row>
    <row r="38" spans="1:7">
      <c r="A38" s="118" t="s">
        <v>305</v>
      </c>
      <c r="B38" s="68" t="s">
        <v>163</v>
      </c>
      <c r="C38" s="68" t="s">
        <v>152</v>
      </c>
      <c r="D38" s="81">
        <f>'пр.7 2024г'!G253</f>
        <v>851929.14971000003</v>
      </c>
      <c r="E38" s="208"/>
      <c r="F38" s="334"/>
    </row>
    <row r="39" spans="1:7">
      <c r="A39" s="799" t="s">
        <v>1257</v>
      </c>
      <c r="B39" s="75" t="s">
        <v>156</v>
      </c>
      <c r="C39" s="75"/>
      <c r="D39" s="76">
        <f>D40</f>
        <v>10</v>
      </c>
      <c r="E39" s="208"/>
      <c r="F39" s="334"/>
    </row>
    <row r="40" spans="1:7">
      <c r="A40" s="804" t="s">
        <v>1251</v>
      </c>
      <c r="B40" s="68" t="s">
        <v>156</v>
      </c>
      <c r="C40" s="68" t="s">
        <v>156</v>
      </c>
      <c r="D40" s="81">
        <f>'пр.7 2024г'!G283</f>
        <v>10</v>
      </c>
      <c r="E40" s="208"/>
      <c r="F40" s="334"/>
    </row>
    <row r="41" spans="1:7" ht="18" customHeight="1">
      <c r="A41" s="45" t="s">
        <v>40</v>
      </c>
      <c r="B41" s="75" t="s">
        <v>157</v>
      </c>
      <c r="C41" s="75"/>
      <c r="D41" s="76">
        <f>D42+D43+D44+D45</f>
        <v>11161.60269</v>
      </c>
      <c r="E41" s="76" t="e">
        <f t="shared" ref="E41" si="4">E42+E43+E45</f>
        <v>#REF!</v>
      </c>
      <c r="F41" s="334"/>
    </row>
    <row r="42" spans="1:7">
      <c r="A42" s="118" t="s">
        <v>168</v>
      </c>
      <c r="B42" s="68" t="s">
        <v>157</v>
      </c>
      <c r="C42" s="68" t="s">
        <v>152</v>
      </c>
      <c r="D42" s="81">
        <f>'пр.7 2024г'!G288</f>
        <v>5100</v>
      </c>
      <c r="E42" s="208"/>
    </row>
    <row r="43" spans="1:7" s="50" customFormat="1">
      <c r="A43" s="118" t="s">
        <v>302</v>
      </c>
      <c r="B43" s="68" t="s">
        <v>157</v>
      </c>
      <c r="C43" s="68" t="s">
        <v>155</v>
      </c>
      <c r="D43" s="81">
        <f>'пр.7 2024г'!G290+'пр.7 2024г'!G670</f>
        <v>2485.5</v>
      </c>
      <c r="E43" s="208" t="e">
        <f>#REF!+#REF!+#REF!+#REF!+#REF!</f>
        <v>#REF!</v>
      </c>
      <c r="F43" s="353"/>
    </row>
    <row r="44" spans="1:7" s="50" customFormat="1" hidden="1">
      <c r="A44" s="48" t="s">
        <v>789</v>
      </c>
      <c r="B44" s="68" t="s">
        <v>157</v>
      </c>
      <c r="C44" s="68" t="s">
        <v>161</v>
      </c>
      <c r="D44" s="535">
        <f>'пр.7 2024г'!G304</f>
        <v>286.70269000000002</v>
      </c>
      <c r="E44" s="535" t="e">
        <f>'пр.7 2024г'!#REF!</f>
        <v>#REF!</v>
      </c>
      <c r="F44" s="353"/>
    </row>
    <row r="45" spans="1:7">
      <c r="A45" s="118" t="s">
        <v>303</v>
      </c>
      <c r="B45" s="68" t="s">
        <v>157</v>
      </c>
      <c r="C45" s="68" t="s">
        <v>158</v>
      </c>
      <c r="D45" s="81">
        <f>'пр.7 2024г'!G312</f>
        <v>3289.3999999999996</v>
      </c>
      <c r="E45" s="208"/>
    </row>
    <row r="46" spans="1:7" ht="18" customHeight="1">
      <c r="A46" s="45" t="s">
        <v>41</v>
      </c>
      <c r="B46" s="75" t="s">
        <v>160</v>
      </c>
      <c r="C46" s="75"/>
      <c r="D46" s="76">
        <f>D47+D48+D49</f>
        <v>34649.985999999997</v>
      </c>
      <c r="E46" s="76" t="e">
        <f t="shared" ref="E46" si="5">E47+E48+E49</f>
        <v>#REF!</v>
      </c>
    </row>
    <row r="47" spans="1:7">
      <c r="A47" s="118" t="s">
        <v>42</v>
      </c>
      <c r="B47" s="68" t="s">
        <v>160</v>
      </c>
      <c r="C47" s="68" t="s">
        <v>152</v>
      </c>
      <c r="D47" s="81">
        <f>'пр.7 2024г'!G331</f>
        <v>1200</v>
      </c>
      <c r="E47" s="208" t="e">
        <f>#REF!+#REF!</f>
        <v>#REF!</v>
      </c>
    </row>
    <row r="48" spans="1:7">
      <c r="A48" s="118" t="s">
        <v>198</v>
      </c>
      <c r="B48" s="68" t="s">
        <v>160</v>
      </c>
      <c r="C48" s="68" t="s">
        <v>153</v>
      </c>
      <c r="D48" s="81">
        <f>'пр.7 2024г'!G338</f>
        <v>2320.9859999999999</v>
      </c>
      <c r="E48" s="208"/>
    </row>
    <row r="49" spans="1:6" s="47" customFormat="1">
      <c r="A49" s="134" t="s">
        <v>533</v>
      </c>
      <c r="B49" s="68" t="s">
        <v>160</v>
      </c>
      <c r="C49" s="68" t="s">
        <v>155</v>
      </c>
      <c r="D49" s="81">
        <f>'пр.7 2024г'!G350</f>
        <v>31129</v>
      </c>
      <c r="E49" s="208"/>
    </row>
    <row r="50" spans="1:6" s="47" customFormat="1">
      <c r="A50" s="45" t="s">
        <v>43</v>
      </c>
      <c r="B50" s="75" t="s">
        <v>159</v>
      </c>
      <c r="C50" s="75"/>
      <c r="D50" s="76">
        <f t="shared" ref="D50:E50" si="6">D51</f>
        <v>1600</v>
      </c>
      <c r="E50" s="76" t="e">
        <f t="shared" si="6"/>
        <v>#REF!</v>
      </c>
    </row>
    <row r="51" spans="1:6" ht="16.5" customHeight="1">
      <c r="A51" s="118" t="s">
        <v>177</v>
      </c>
      <c r="B51" s="68" t="s">
        <v>159</v>
      </c>
      <c r="C51" s="68" t="s">
        <v>153</v>
      </c>
      <c r="D51" s="81">
        <f>'пр.7 2024г'!G362</f>
        <v>1600</v>
      </c>
      <c r="E51" s="208" t="e">
        <f>#REF!</f>
        <v>#REF!</v>
      </c>
    </row>
    <row r="52" spans="1:6" hidden="1">
      <c r="A52" s="138" t="s">
        <v>707</v>
      </c>
      <c r="B52" s="68" t="s">
        <v>178</v>
      </c>
      <c r="C52" s="68"/>
      <c r="D52" s="81">
        <f>D53</f>
        <v>12.99507</v>
      </c>
      <c r="E52" s="208"/>
    </row>
    <row r="53" spans="1:6" ht="31.5" hidden="1">
      <c r="A53" s="269" t="s">
        <v>722</v>
      </c>
      <c r="B53" s="68" t="s">
        <v>178</v>
      </c>
      <c r="C53" s="68" t="s">
        <v>152</v>
      </c>
      <c r="D53" s="81">
        <f>'пр.7 2024г'!G73</f>
        <v>12.99507</v>
      </c>
      <c r="E53" s="208"/>
    </row>
    <row r="54" spans="1:6" ht="47.25">
      <c r="A54" s="214" t="s">
        <v>44</v>
      </c>
      <c r="B54" s="271" t="s">
        <v>165</v>
      </c>
      <c r="C54" s="271"/>
      <c r="D54" s="94">
        <f>D55+D56</f>
        <v>60764.721899999997</v>
      </c>
      <c r="E54" s="94" t="e">
        <f t="shared" ref="E54" si="7">E55+E56</f>
        <v>#REF!</v>
      </c>
    </row>
    <row r="55" spans="1:6" s="43" customFormat="1" ht="31.5">
      <c r="A55" s="204" t="s">
        <v>45</v>
      </c>
      <c r="B55" s="120" t="s">
        <v>165</v>
      </c>
      <c r="C55" s="120" t="s">
        <v>152</v>
      </c>
      <c r="D55" s="119">
        <f>'пр.7 2024г'!G76</f>
        <v>100.2</v>
      </c>
      <c r="E55" s="208" t="e">
        <f>#REF!</f>
        <v>#REF!</v>
      </c>
    </row>
    <row r="56" spans="1:6" s="50" customFormat="1">
      <c r="A56" s="204" t="s">
        <v>46</v>
      </c>
      <c r="B56" s="120" t="s">
        <v>165</v>
      </c>
      <c r="C56" s="120" t="s">
        <v>155</v>
      </c>
      <c r="D56" s="119">
        <f>'пр.7 2024г'!G81+'пр.7 2024г'!G370</f>
        <v>60664.5219</v>
      </c>
      <c r="E56" s="208" t="e">
        <f>#REF!+#REF!</f>
        <v>#REF!</v>
      </c>
      <c r="F56" s="353"/>
    </row>
    <row r="57" spans="1:6" s="47" customFormat="1" ht="21.75" customHeight="1">
      <c r="A57" s="297" t="s">
        <v>164</v>
      </c>
      <c r="B57" s="270"/>
      <c r="C57" s="270"/>
      <c r="D57" s="94">
        <f>D10+D19+D21+D25+D28+D30+D37+D41+D46+D50+D54+D53+D39</f>
        <v>2097503.0170000005</v>
      </c>
      <c r="E57" s="94" t="e">
        <f>E10+E19+E21+E25+E28+E30+E37+E41+E46+E50+E54+E53</f>
        <v>#REF!</v>
      </c>
    </row>
    <row r="58" spans="1:6" s="47" customFormat="1">
      <c r="A58" s="44"/>
      <c r="B58" s="42"/>
      <c r="C58" s="42"/>
      <c r="D58" s="57"/>
      <c r="E58" s="208"/>
    </row>
    <row r="59" spans="1:6" s="47" customFormat="1">
      <c r="A59" s="42"/>
      <c r="B59" s="42"/>
      <c r="C59" s="42"/>
      <c r="D59" s="57">
        <f>D60-D57</f>
        <v>0</v>
      </c>
      <c r="E59" s="208"/>
    </row>
    <row r="60" spans="1:6" s="47" customFormat="1">
      <c r="A60" s="44"/>
      <c r="B60" s="42"/>
      <c r="C60" s="42"/>
      <c r="D60" s="57">
        <f>'пр.7 2024г'!G760</f>
        <v>2097503.0170000005</v>
      </c>
    </row>
    <row r="61" spans="1:6" s="47" customFormat="1">
      <c r="A61" s="42"/>
      <c r="B61" s="42"/>
      <c r="C61" s="42"/>
      <c r="D61" s="57"/>
    </row>
    <row r="62" spans="1:6" s="47" customFormat="1">
      <c r="A62" s="42"/>
      <c r="B62" s="42"/>
      <c r="C62" s="42"/>
      <c r="D62" s="57"/>
    </row>
    <row r="63" spans="1:6">
      <c r="E63" s="207" t="e">
        <f>E10+E19+E21+#REF!+E31+#REF!+#REF!+#REF!+E43+#REF!+#REF!+E54+E56</f>
        <v>#REF!</v>
      </c>
    </row>
    <row r="65" spans="5:5">
      <c r="E65" s="44">
        <f>'[1]пр. 7'!H758</f>
        <v>388583.76954000001</v>
      </c>
    </row>
    <row r="67" spans="5:5">
      <c r="E67" s="53" t="e">
        <f>E65-E63</f>
        <v>#REF!</v>
      </c>
    </row>
    <row r="68" spans="5:5">
      <c r="E68" s="54"/>
    </row>
  </sheetData>
  <autoFilter ref="A9:D57"/>
  <mergeCells count="7">
    <mergeCell ref="A6:D6"/>
    <mergeCell ref="A7:D7"/>
    <mergeCell ref="B1:D1"/>
    <mergeCell ref="B2:D2"/>
    <mergeCell ref="B3:D3"/>
    <mergeCell ref="A4:D4"/>
    <mergeCell ref="A5:D5"/>
  </mergeCells>
  <phoneticPr fontId="14" type="noConversion"/>
  <pageMargins left="0.70866141732283472" right="0.70866141732283472" top="0.35433070866141736" bottom="0.31496062992125984" header="0.31496062992125984" footer="0.31496062992125984"/>
  <pageSetup paperSize="9" scale="72" fitToWidth="13" fitToHeight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J65"/>
  <sheetViews>
    <sheetView view="pageBreakPreview" topLeftCell="A19" zoomScale="81" zoomScaleSheetLayoutView="81" workbookViewId="0">
      <selection activeCell="D59" sqref="D59:F59"/>
    </sheetView>
  </sheetViews>
  <sheetFormatPr defaultRowHeight="15.75"/>
  <cols>
    <col min="1" max="1" width="76.140625" style="44" customWidth="1"/>
    <col min="2" max="2" width="8.140625" style="42" customWidth="1"/>
    <col min="3" max="3" width="12.42578125" style="42" customWidth="1"/>
    <col min="4" max="4" width="18.42578125" style="57" customWidth="1"/>
    <col min="5" max="5" width="22.140625" style="319" hidden="1" customWidth="1"/>
    <col min="6" max="6" width="18.42578125" style="57" customWidth="1"/>
    <col min="7" max="7" width="17.42578125" style="39" customWidth="1"/>
    <col min="8" max="8" width="19.5703125" style="39" customWidth="1"/>
    <col min="9" max="10" width="13.5703125" style="39" bestFit="1" customWidth="1"/>
    <col min="11" max="16384" width="9.140625" style="39"/>
  </cols>
  <sheetData>
    <row r="1" spans="1:10">
      <c r="C1" s="44"/>
      <c r="D1" s="42"/>
      <c r="E1" s="42"/>
      <c r="F1" s="678" t="s">
        <v>100</v>
      </c>
    </row>
    <row r="2" spans="1:10">
      <c r="C2" s="44"/>
      <c r="D2" s="42"/>
      <c r="E2" s="42"/>
      <c r="F2" s="520" t="s">
        <v>141</v>
      </c>
    </row>
    <row r="3" spans="1:10">
      <c r="C3" s="44"/>
      <c r="D3" s="42"/>
      <c r="E3" s="42"/>
      <c r="F3" s="520" t="s">
        <v>240</v>
      </c>
    </row>
    <row r="4" spans="1:10">
      <c r="C4" s="44"/>
      <c r="D4" s="42"/>
      <c r="E4" s="42"/>
      <c r="F4" s="520" t="s">
        <v>104</v>
      </c>
    </row>
    <row r="5" spans="1:10">
      <c r="C5" s="44"/>
      <c r="D5" s="42"/>
      <c r="E5" s="42"/>
      <c r="F5" s="520" t="s">
        <v>241</v>
      </c>
    </row>
    <row r="6" spans="1:10">
      <c r="C6" s="44"/>
      <c r="D6" s="42"/>
      <c r="E6" s="42"/>
      <c r="F6" s="767" t="s">
        <v>1202</v>
      </c>
    </row>
    <row r="7" spans="1:10">
      <c r="C7" s="44"/>
      <c r="D7" s="854" t="s">
        <v>1198</v>
      </c>
      <c r="E7" s="854"/>
      <c r="F7" s="854"/>
    </row>
    <row r="8" spans="1:10" ht="35.25" customHeight="1">
      <c r="A8" s="855" t="s">
        <v>1177</v>
      </c>
      <c r="B8" s="855"/>
      <c r="C8" s="855"/>
      <c r="D8" s="855"/>
      <c r="E8" s="855"/>
      <c r="F8" s="855"/>
    </row>
    <row r="9" spans="1:10">
      <c r="A9" s="211"/>
      <c r="B9" s="212"/>
      <c r="C9" s="212"/>
      <c r="D9" s="317" t="s">
        <v>105</v>
      </c>
      <c r="F9" s="317" t="s">
        <v>105</v>
      </c>
    </row>
    <row r="10" spans="1:10" ht="63">
      <c r="A10" s="132" t="s">
        <v>146</v>
      </c>
      <c r="B10" s="132" t="s">
        <v>147</v>
      </c>
      <c r="C10" s="132" t="s">
        <v>31</v>
      </c>
      <c r="D10" s="61" t="s">
        <v>937</v>
      </c>
      <c r="E10" s="335" t="s">
        <v>19</v>
      </c>
      <c r="F10" s="61" t="s">
        <v>1120</v>
      </c>
    </row>
    <row r="11" spans="1:10">
      <c r="A11" s="45" t="s">
        <v>32</v>
      </c>
      <c r="B11" s="75" t="s">
        <v>152</v>
      </c>
      <c r="C11" s="75"/>
      <c r="D11" s="94">
        <f>D12+D13+D14+D15+D16+D17+D18</f>
        <v>101361.27372</v>
      </c>
      <c r="E11" s="94" t="e">
        <f t="shared" ref="E11:F11" si="0">E12+E13+E14+E15+E16+E17+E18</f>
        <v>#REF!</v>
      </c>
      <c r="F11" s="94">
        <f t="shared" si="0"/>
        <v>98518.432720000012</v>
      </c>
      <c r="G11" s="166"/>
      <c r="H11" s="334"/>
      <c r="J11" s="334"/>
    </row>
    <row r="12" spans="1:10" s="43" customFormat="1" ht="31.5">
      <c r="A12" s="118" t="s">
        <v>33</v>
      </c>
      <c r="B12" s="68" t="s">
        <v>152</v>
      </c>
      <c r="C12" s="68" t="s">
        <v>153</v>
      </c>
      <c r="D12" s="167">
        <f>'пр.8 2024-2026г'!G77</f>
        <v>1860.1625800000002</v>
      </c>
      <c r="E12" s="167">
        <f>'пр.8 2024-2026г'!H77</f>
        <v>1860.1625800000002</v>
      </c>
      <c r="F12" s="167">
        <f>'пр.8 2024-2026г'!H77</f>
        <v>1860.1625800000002</v>
      </c>
    </row>
    <row r="13" spans="1:10" s="47" customFormat="1" ht="47.25">
      <c r="A13" s="118" t="s">
        <v>34</v>
      </c>
      <c r="B13" s="68" t="s">
        <v>152</v>
      </c>
      <c r="C13" s="68" t="s">
        <v>155</v>
      </c>
      <c r="D13" s="167">
        <f>'пр.8 2024-2026г'!G15</f>
        <v>2839.3</v>
      </c>
      <c r="E13" s="167" t="e">
        <f>#REF!</f>
        <v>#REF!</v>
      </c>
      <c r="F13" s="167">
        <f>'пр.8 2024-2026г'!H15</f>
        <v>2839.3</v>
      </c>
    </row>
    <row r="14" spans="1:10" s="43" customFormat="1" ht="47.25">
      <c r="A14" s="118" t="s">
        <v>208</v>
      </c>
      <c r="B14" s="68" t="s">
        <v>152</v>
      </c>
      <c r="C14" s="68" t="s">
        <v>161</v>
      </c>
      <c r="D14" s="167">
        <f>'пр.8 2024-2026г'!G84</f>
        <v>23552.491140000002</v>
      </c>
      <c r="E14" s="167" t="e">
        <f>#REF!+#REF!+#REF!+#REF!</f>
        <v>#REF!</v>
      </c>
      <c r="F14" s="167">
        <f>'пр.8 2024-2026г'!H84</f>
        <v>21639.850140000002</v>
      </c>
      <c r="I14" s="339"/>
      <c r="J14" s="339"/>
    </row>
    <row r="15" spans="1:10">
      <c r="A15" s="48" t="s">
        <v>102</v>
      </c>
      <c r="B15" s="68" t="s">
        <v>152</v>
      </c>
      <c r="C15" s="68" t="s">
        <v>162</v>
      </c>
      <c r="D15" s="167">
        <f>'пр.8 2024-2026г'!G98</f>
        <v>2.6</v>
      </c>
      <c r="E15" s="84" t="e">
        <f>#REF!</f>
        <v>#REF!</v>
      </c>
      <c r="F15" s="167">
        <f>'пр.8 2024-2026г'!H98</f>
        <v>0</v>
      </c>
    </row>
    <row r="16" spans="1:10" s="43" customFormat="1" ht="31.5">
      <c r="A16" s="118" t="s">
        <v>109</v>
      </c>
      <c r="B16" s="68" t="s">
        <v>152</v>
      </c>
      <c r="C16" s="68" t="s">
        <v>158</v>
      </c>
      <c r="D16" s="119">
        <f>'пр.8 2024-2026г'!G45+'пр.8 2024-2026г'!G27</f>
        <v>15668.82</v>
      </c>
      <c r="E16" s="119" t="e">
        <f>#REF!+#REF!+#REF!+#REF!</f>
        <v>#REF!</v>
      </c>
      <c r="F16" s="119">
        <f>'пр.8 2024-2026г'!H45+'пр.8 2024-2026г'!H27</f>
        <v>14741.220000000001</v>
      </c>
      <c r="G16" s="165"/>
      <c r="H16" s="165"/>
    </row>
    <row r="17" spans="1:10" s="43" customFormat="1">
      <c r="A17" s="118" t="s">
        <v>170</v>
      </c>
      <c r="B17" s="68" t="s">
        <v>152</v>
      </c>
      <c r="C17" s="68" t="s">
        <v>160</v>
      </c>
      <c r="D17" s="167">
        <f>'пр.8 2024-2026г'!G102</f>
        <v>500</v>
      </c>
      <c r="E17" s="84" t="e">
        <f>#REF!</f>
        <v>#REF!</v>
      </c>
      <c r="F17" s="167">
        <f>'пр.8 2024-2026г'!H102</f>
        <v>500</v>
      </c>
    </row>
    <row r="18" spans="1:10" s="43" customFormat="1">
      <c r="A18" s="134" t="s">
        <v>167</v>
      </c>
      <c r="B18" s="120" t="s">
        <v>152</v>
      </c>
      <c r="C18" s="120" t="s">
        <v>178</v>
      </c>
      <c r="D18" s="119">
        <f>'пр.8 2024-2026г'!G105</f>
        <v>56937.9</v>
      </c>
      <c r="E18" s="119" t="e">
        <f>#REF!+#REF!</f>
        <v>#REF!</v>
      </c>
      <c r="F18" s="119">
        <f>'пр.8 2024-2026г'!H105</f>
        <v>56937.9</v>
      </c>
      <c r="H18" s="165"/>
      <c r="I18" s="339"/>
      <c r="J18" s="339"/>
    </row>
    <row r="19" spans="1:10" s="43" customFormat="1" ht="31.5">
      <c r="A19" s="45" t="s">
        <v>35</v>
      </c>
      <c r="B19" s="75" t="s">
        <v>155</v>
      </c>
      <c r="C19" s="75"/>
      <c r="D19" s="76">
        <f>D20</f>
        <v>2600</v>
      </c>
      <c r="E19" s="76" t="e">
        <f t="shared" ref="E19:F19" si="1">E20</f>
        <v>#REF!</v>
      </c>
      <c r="F19" s="76">
        <f t="shared" si="1"/>
        <v>300</v>
      </c>
      <c r="H19" s="165"/>
      <c r="I19" s="339"/>
      <c r="J19" s="339"/>
    </row>
    <row r="20" spans="1:10" s="43" customFormat="1" ht="31.5">
      <c r="A20" s="118" t="s">
        <v>172</v>
      </c>
      <c r="B20" s="68" t="s">
        <v>155</v>
      </c>
      <c r="C20" s="68" t="s">
        <v>156</v>
      </c>
      <c r="D20" s="167">
        <f>'пр.8 2024-2026г'!G129</f>
        <v>2600</v>
      </c>
      <c r="E20" s="167" t="e">
        <f>#REF!+#REF!</f>
        <v>#REF!</v>
      </c>
      <c r="F20" s="167">
        <f>'пр.8 2024-2026г'!H129</f>
        <v>300</v>
      </c>
    </row>
    <row r="21" spans="1:10" s="50" customFormat="1">
      <c r="A21" s="45" t="s">
        <v>36</v>
      </c>
      <c r="B21" s="75" t="s">
        <v>161</v>
      </c>
      <c r="C21" s="75"/>
      <c r="D21" s="76">
        <f>D22+D23+D24</f>
        <v>131345.43399999998</v>
      </c>
      <c r="E21" s="76" t="e">
        <f>E22+E23+E24</f>
        <v>#REF!</v>
      </c>
      <c r="F21" s="76">
        <f>F22+F23+F24</f>
        <v>131335.78</v>
      </c>
      <c r="I21" s="353"/>
    </row>
    <row r="22" spans="1:10" s="43" customFormat="1">
      <c r="A22" s="118" t="s">
        <v>169</v>
      </c>
      <c r="B22" s="68" t="s">
        <v>161</v>
      </c>
      <c r="C22" s="68" t="s">
        <v>162</v>
      </c>
      <c r="D22" s="167">
        <f>'пр.8 2024-2026г'!G137</f>
        <v>3453.2</v>
      </c>
      <c r="E22" s="167" t="e">
        <f>#REF!+#REF!</f>
        <v>#REF!</v>
      </c>
      <c r="F22" s="167">
        <f>'пр.8 2024-2026г'!H137</f>
        <v>2931.4999999999995</v>
      </c>
    </row>
    <row r="23" spans="1:10" ht="31.5">
      <c r="A23" s="48" t="s">
        <v>871</v>
      </c>
      <c r="B23" s="120" t="s">
        <v>161</v>
      </c>
      <c r="C23" s="120" t="s">
        <v>156</v>
      </c>
      <c r="D23" s="167">
        <f>'пр.8 2024-2026г'!G520</f>
        <v>116702.30899999999</v>
      </c>
      <c r="E23" s="167">
        <f>'пр.8 2024-2026г'!H520</f>
        <v>118482.28</v>
      </c>
      <c r="F23" s="167">
        <f>'пр.8 2024-2026г'!H520</f>
        <v>118482.28</v>
      </c>
    </row>
    <row r="24" spans="1:10" s="43" customFormat="1">
      <c r="A24" s="118" t="s">
        <v>25</v>
      </c>
      <c r="B24" s="68" t="s">
        <v>161</v>
      </c>
      <c r="C24" s="68" t="s">
        <v>159</v>
      </c>
      <c r="D24" s="167">
        <f>'пр.8 2024-2026г'!G535+'пр.8 2024-2026г'!G158</f>
        <v>11189.924999999999</v>
      </c>
      <c r="E24" s="167" t="e">
        <f>#REF!+#REF!+#REF!+#REF!+#REF!+#REF!</f>
        <v>#REF!</v>
      </c>
      <c r="F24" s="167">
        <f>'пр.8 2024-2026г'!H158+'пр.8 2024-2026г'!H535</f>
        <v>9922</v>
      </c>
      <c r="J24" s="339"/>
    </row>
    <row r="25" spans="1:10" s="50" customFormat="1">
      <c r="A25" s="45" t="s">
        <v>37</v>
      </c>
      <c r="B25" s="75" t="s">
        <v>162</v>
      </c>
      <c r="C25" s="75"/>
      <c r="D25" s="76">
        <f>D26+D27</f>
        <v>16360.766670000001</v>
      </c>
      <c r="E25" s="76" t="e">
        <f t="shared" ref="E25:F25" si="2">E26+E27</f>
        <v>#REF!</v>
      </c>
      <c r="F25" s="76">
        <f t="shared" si="2"/>
        <v>16360.766670000001</v>
      </c>
    </row>
    <row r="26" spans="1:10" s="50" customFormat="1">
      <c r="A26" s="48" t="s">
        <v>427</v>
      </c>
      <c r="B26" s="75" t="s">
        <v>162</v>
      </c>
      <c r="C26" s="68" t="s">
        <v>153</v>
      </c>
      <c r="D26" s="81">
        <f>'пр.8 2024-2026г'!G549</f>
        <v>11573.666670000001</v>
      </c>
      <c r="E26" s="84"/>
      <c r="F26" s="81">
        <f>'пр.8 2024-2026г'!H549</f>
        <v>11573.666670000001</v>
      </c>
    </row>
    <row r="27" spans="1:10" s="43" customFormat="1">
      <c r="A27" s="118" t="s">
        <v>22</v>
      </c>
      <c r="B27" s="68" t="s">
        <v>162</v>
      </c>
      <c r="C27" s="68" t="s">
        <v>162</v>
      </c>
      <c r="D27" s="167">
        <f>'пр.8 2024-2026г'!G555</f>
        <v>4787.1000000000004</v>
      </c>
      <c r="E27" s="167" t="e">
        <f>#REF!+#REF!+#REF!</f>
        <v>#REF!</v>
      </c>
      <c r="F27" s="167">
        <f>'пр.8 2024-2026г'!H555</f>
        <v>4787.1000000000004</v>
      </c>
    </row>
    <row r="28" spans="1:10" s="50" customFormat="1">
      <c r="A28" s="135" t="s">
        <v>129</v>
      </c>
      <c r="B28" s="75" t="s">
        <v>158</v>
      </c>
      <c r="C28" s="75"/>
      <c r="D28" s="76">
        <f>D29</f>
        <v>545.29999999999995</v>
      </c>
      <c r="E28" s="76">
        <f t="shared" ref="E28:F28" si="3">E29</f>
        <v>0</v>
      </c>
      <c r="F28" s="76">
        <f t="shared" si="3"/>
        <v>545.29999999999995</v>
      </c>
    </row>
    <row r="29" spans="1:10" s="50" customFormat="1">
      <c r="A29" s="123" t="s">
        <v>933</v>
      </c>
      <c r="B29" s="68" t="s">
        <v>158</v>
      </c>
      <c r="C29" s="68" t="s">
        <v>162</v>
      </c>
      <c r="D29" s="81">
        <f>'пр.8 2024-2026г'!G564</f>
        <v>545.29999999999995</v>
      </c>
      <c r="E29" s="208"/>
      <c r="F29" s="535">
        <f>'пр.8 2024-2026г'!H565</f>
        <v>545.29999999999995</v>
      </c>
    </row>
    <row r="30" spans="1:10">
      <c r="A30" s="298" t="s">
        <v>38</v>
      </c>
      <c r="B30" s="299" t="s">
        <v>154</v>
      </c>
      <c r="C30" s="299"/>
      <c r="D30" s="314">
        <f>D31+D32+D33+D34+D35</f>
        <v>913352.19155000022</v>
      </c>
      <c r="E30" s="314" t="e">
        <f>E31+E32+E33+E34+E35</f>
        <v>#REF!</v>
      </c>
      <c r="F30" s="314">
        <f>F31+F32+F33+F34+F35</f>
        <v>900907.77830000012</v>
      </c>
      <c r="G30" s="166"/>
      <c r="H30" s="166"/>
      <c r="I30" s="334"/>
      <c r="J30" s="334"/>
    </row>
    <row r="31" spans="1:10">
      <c r="A31" s="118" t="s">
        <v>306</v>
      </c>
      <c r="B31" s="68" t="s">
        <v>154</v>
      </c>
      <c r="C31" s="68" t="s">
        <v>152</v>
      </c>
      <c r="D31" s="119">
        <f>'пр.8 2024-2026г'!G307</f>
        <v>156952.5</v>
      </c>
      <c r="E31" s="119" t="e">
        <f>#REF!+#REF!</f>
        <v>#REF!</v>
      </c>
      <c r="F31" s="119">
        <f>'пр.8 2024-2026г'!H307</f>
        <v>155647.26400000002</v>
      </c>
      <c r="H31" s="334"/>
    </row>
    <row r="32" spans="1:10">
      <c r="A32" s="118" t="s">
        <v>199</v>
      </c>
      <c r="B32" s="68" t="s">
        <v>154</v>
      </c>
      <c r="C32" s="68" t="s">
        <v>153</v>
      </c>
      <c r="D32" s="119">
        <f>'пр.8 2024-2026г'!G338</f>
        <v>653189.24779000017</v>
      </c>
      <c r="E32" s="119">
        <f>'пр.8 2024-2026г'!H338</f>
        <v>641624.27054000017</v>
      </c>
      <c r="F32" s="119">
        <f>'пр.8 2024-2026г'!H338</f>
        <v>641624.27054000017</v>
      </c>
      <c r="G32" s="166"/>
      <c r="H32" s="166"/>
    </row>
    <row r="33" spans="1:10">
      <c r="A33" s="544" t="s">
        <v>377</v>
      </c>
      <c r="B33" s="120" t="s">
        <v>154</v>
      </c>
      <c r="C33" s="120" t="s">
        <v>155</v>
      </c>
      <c r="D33" s="119">
        <f>'пр.8 2024-2026г'!G415+'пр.8 2024-2026г'!G174</f>
        <v>44935.25</v>
      </c>
      <c r="E33" s="119" t="e">
        <f>#REF!+#REF!+#REF!+#REF!+#REF!</f>
        <v>#REF!</v>
      </c>
      <c r="F33" s="119">
        <f>'пр.8 2024-2026г'!H174+'пр.8 2024-2026г'!H415</f>
        <v>44935.25</v>
      </c>
    </row>
    <row r="34" spans="1:10" ht="18.75" customHeight="1">
      <c r="A34" s="118" t="s">
        <v>300</v>
      </c>
      <c r="B34" s="68" t="s">
        <v>154</v>
      </c>
      <c r="C34" s="68" t="s">
        <v>154</v>
      </c>
      <c r="D34" s="167">
        <f>'пр.8 2024-2026г'!G182+'пр.8 2024-2026г'!G432</f>
        <v>11496.44082</v>
      </c>
      <c r="E34" s="167" t="e">
        <f>#REF!+#REF!+#REF!+#REF!</f>
        <v>#REF!</v>
      </c>
      <c r="F34" s="167">
        <f>'пр.8 2024-2026г'!H182+'пр.8 2024-2026г'!H432</f>
        <v>11506.44082</v>
      </c>
      <c r="J34" s="334"/>
    </row>
    <row r="35" spans="1:10">
      <c r="A35" s="118" t="s">
        <v>308</v>
      </c>
      <c r="B35" s="68" t="s">
        <v>154</v>
      </c>
      <c r="C35" s="68" t="s">
        <v>156</v>
      </c>
      <c r="D35" s="167">
        <f>'пр.8 2024-2026г'!G453</f>
        <v>46778.752939999998</v>
      </c>
      <c r="E35" s="167">
        <f>'пр.8 2024-2026г'!H453</f>
        <v>47194.552939999994</v>
      </c>
      <c r="F35" s="167">
        <f>'пр.8 2024-2026г'!H453</f>
        <v>47194.552939999994</v>
      </c>
      <c r="I35" s="334"/>
    </row>
    <row r="36" spans="1:10" s="47" customFormat="1">
      <c r="A36" s="214" t="s">
        <v>39</v>
      </c>
      <c r="B36" s="271" t="s">
        <v>163</v>
      </c>
      <c r="C36" s="271"/>
      <c r="D36" s="94">
        <f>D37</f>
        <v>73011.690709999995</v>
      </c>
      <c r="E36" s="94" t="e">
        <f t="shared" ref="E36:F36" si="4">E37</f>
        <v>#REF!</v>
      </c>
      <c r="F36" s="94">
        <f t="shared" si="4"/>
        <v>73011.690709999995</v>
      </c>
    </row>
    <row r="37" spans="1:10">
      <c r="A37" s="118" t="s">
        <v>305</v>
      </c>
      <c r="B37" s="68" t="s">
        <v>163</v>
      </c>
      <c r="C37" s="68" t="s">
        <v>152</v>
      </c>
      <c r="D37" s="167">
        <f>'пр.8 2024-2026г'!G193</f>
        <v>73011.690709999995</v>
      </c>
      <c r="E37" s="167" t="e">
        <f>#REF!</f>
        <v>#REF!</v>
      </c>
      <c r="F37" s="167">
        <f>'пр.8 2024-2026г'!H193</f>
        <v>73011.690709999995</v>
      </c>
      <c r="I37" s="334"/>
      <c r="J37" s="334"/>
    </row>
    <row r="38" spans="1:10">
      <c r="A38" s="799" t="s">
        <v>1257</v>
      </c>
      <c r="B38" s="75" t="s">
        <v>156</v>
      </c>
      <c r="C38" s="68"/>
      <c r="D38" s="167">
        <f>D39</f>
        <v>10</v>
      </c>
      <c r="E38" s="167"/>
      <c r="F38" s="167">
        <f>F39</f>
        <v>10</v>
      </c>
      <c r="I38" s="334"/>
      <c r="J38" s="334"/>
    </row>
    <row r="39" spans="1:10">
      <c r="A39" s="804" t="s">
        <v>1251</v>
      </c>
      <c r="B39" s="68" t="s">
        <v>156</v>
      </c>
      <c r="C39" s="68" t="s">
        <v>156</v>
      </c>
      <c r="D39" s="167">
        <f>'пр.8 2024-2026г'!G210</f>
        <v>10</v>
      </c>
      <c r="E39" s="167"/>
      <c r="F39" s="167">
        <f>'пр.8 2024-2026г'!H210</f>
        <v>10</v>
      </c>
      <c r="I39" s="334"/>
      <c r="J39" s="334"/>
    </row>
    <row r="40" spans="1:10">
      <c r="A40" s="45" t="s">
        <v>40</v>
      </c>
      <c r="B40" s="75" t="s">
        <v>157</v>
      </c>
      <c r="C40" s="75"/>
      <c r="D40" s="76">
        <f>D41+D42+D44+D43</f>
        <v>11144.9</v>
      </c>
      <c r="E40" s="76" t="e">
        <f>E41+E42+E44</f>
        <v>#REF!</v>
      </c>
      <c r="F40" s="76">
        <f>F41+F42+F44+F43</f>
        <v>11104.9</v>
      </c>
    </row>
    <row r="41" spans="1:10">
      <c r="A41" s="118" t="s">
        <v>168</v>
      </c>
      <c r="B41" s="68" t="s">
        <v>157</v>
      </c>
      <c r="C41" s="68" t="s">
        <v>152</v>
      </c>
      <c r="D41" s="167">
        <f>'пр.8 2024-2026г'!G212</f>
        <v>5100</v>
      </c>
      <c r="E41" s="84" t="e">
        <f>#REF!</f>
        <v>#REF!</v>
      </c>
      <c r="F41" s="167">
        <f>'пр.8 2024-2026г'!H213</f>
        <v>5100</v>
      </c>
    </row>
    <row r="42" spans="1:10">
      <c r="A42" s="118" t="s">
        <v>302</v>
      </c>
      <c r="B42" s="68" t="s">
        <v>157</v>
      </c>
      <c r="C42" s="68" t="s">
        <v>155</v>
      </c>
      <c r="D42" s="167">
        <f>'пр.8 2024-2026г'!G214+'пр.8 2024-2026г'!G509</f>
        <v>2355.5</v>
      </c>
      <c r="E42" s="167" t="e">
        <f>#REF!+#REF!+#REF!+#REF!+#REF!</f>
        <v>#REF!</v>
      </c>
      <c r="F42" s="167">
        <f>'пр.8 2024-2026г'!H214+'пр.8 2024-2026г'!H509</f>
        <v>2315.5</v>
      </c>
    </row>
    <row r="43" spans="1:10">
      <c r="A43" s="118" t="s">
        <v>789</v>
      </c>
      <c r="B43" s="68" t="s">
        <v>157</v>
      </c>
      <c r="C43" s="68" t="s">
        <v>161</v>
      </c>
      <c r="D43" s="167">
        <f>'пр.8 2024-2026г'!G226</f>
        <v>400</v>
      </c>
      <c r="E43" s="651"/>
      <c r="F43" s="167">
        <f>'пр.8 2024-2026г'!H226</f>
        <v>400</v>
      </c>
    </row>
    <row r="44" spans="1:10">
      <c r="A44" s="118" t="s">
        <v>303</v>
      </c>
      <c r="B44" s="68" t="s">
        <v>157</v>
      </c>
      <c r="C44" s="68" t="s">
        <v>158</v>
      </c>
      <c r="D44" s="167">
        <f>'пр.8 2024-2026г'!G234</f>
        <v>3289.3999999999996</v>
      </c>
      <c r="E44" s="84" t="e">
        <f>#REF!</f>
        <v>#REF!</v>
      </c>
      <c r="F44" s="167">
        <f>'пр.8 2024-2026г'!H234</f>
        <v>3289.3999999999996</v>
      </c>
    </row>
    <row r="45" spans="1:10">
      <c r="A45" s="45" t="s">
        <v>41</v>
      </c>
      <c r="B45" s="75" t="s">
        <v>160</v>
      </c>
      <c r="C45" s="75"/>
      <c r="D45" s="76">
        <f>D46+D47+D48</f>
        <v>38549.985999999997</v>
      </c>
      <c r="E45" s="76" t="e">
        <f t="shared" ref="E45:F45" si="5">E46+E47+E48</f>
        <v>#REF!</v>
      </c>
      <c r="F45" s="76">
        <f t="shared" si="5"/>
        <v>38549.985999999997</v>
      </c>
    </row>
    <row r="46" spans="1:10">
      <c r="A46" s="118" t="s">
        <v>42</v>
      </c>
      <c r="B46" s="68" t="s">
        <v>160</v>
      </c>
      <c r="C46" s="68" t="s">
        <v>152</v>
      </c>
      <c r="D46" s="167">
        <f>'пр.8 2024-2026г'!G251</f>
        <v>1200</v>
      </c>
      <c r="E46" s="167" t="e">
        <f>#REF!+#REF!+#REF!</f>
        <v>#REF!</v>
      </c>
      <c r="F46" s="167">
        <f>'пр.8 2024-2026г'!H251</f>
        <v>1200</v>
      </c>
    </row>
    <row r="47" spans="1:10">
      <c r="A47" s="118" t="s">
        <v>198</v>
      </c>
      <c r="B47" s="68" t="s">
        <v>160</v>
      </c>
      <c r="C47" s="68" t="s">
        <v>153</v>
      </c>
      <c r="D47" s="167">
        <f>'пр.8 2024-2026г'!G258</f>
        <v>2320.9859999999999</v>
      </c>
      <c r="E47" s="84" t="e">
        <f>#REF!+#REF!</f>
        <v>#REF!</v>
      </c>
      <c r="F47" s="167">
        <f>'пр.8 2024-2026г'!H258</f>
        <v>2320.9859999999999</v>
      </c>
    </row>
    <row r="48" spans="1:10" s="43" customFormat="1">
      <c r="A48" s="543" t="s">
        <v>533</v>
      </c>
      <c r="B48" s="68" t="s">
        <v>160</v>
      </c>
      <c r="C48" s="68" t="s">
        <v>155</v>
      </c>
      <c r="D48" s="167">
        <f>'пр.8 2024-2026г'!G270</f>
        <v>35029</v>
      </c>
      <c r="E48" s="167">
        <f>'пр.8 2024-2026г'!H270</f>
        <v>35029</v>
      </c>
      <c r="F48" s="167">
        <f>'пр.8 2024-2026г'!H270</f>
        <v>35029</v>
      </c>
    </row>
    <row r="49" spans="1:9" s="47" customFormat="1">
      <c r="A49" s="45" t="s">
        <v>43</v>
      </c>
      <c r="B49" s="75" t="s">
        <v>159</v>
      </c>
      <c r="C49" s="75"/>
      <c r="D49" s="76">
        <f t="shared" ref="D49:F49" si="6">D50</f>
        <v>1600</v>
      </c>
      <c r="E49" s="336" t="e">
        <f t="shared" si="6"/>
        <v>#REF!</v>
      </c>
      <c r="F49" s="76">
        <f t="shared" si="6"/>
        <v>1600</v>
      </c>
    </row>
    <row r="50" spans="1:9" s="47" customFormat="1">
      <c r="A50" s="118" t="s">
        <v>177</v>
      </c>
      <c r="B50" s="68" t="s">
        <v>159</v>
      </c>
      <c r="C50" s="68" t="s">
        <v>153</v>
      </c>
      <c r="D50" s="167">
        <f>'пр.8 2024-2026г'!G284</f>
        <v>1600</v>
      </c>
      <c r="E50" s="167" t="e">
        <f>#REF!</f>
        <v>#REF!</v>
      </c>
      <c r="F50" s="167">
        <f>'пр.8 2024-2026г'!H284</f>
        <v>1600</v>
      </c>
    </row>
    <row r="51" spans="1:9" ht="47.25">
      <c r="A51" s="214" t="s">
        <v>44</v>
      </c>
      <c r="B51" s="215" t="s">
        <v>165</v>
      </c>
      <c r="C51" s="215"/>
      <c r="D51" s="94">
        <f>D52+D53</f>
        <v>51202.613599999997</v>
      </c>
      <c r="E51" s="94" t="e">
        <f>E52+E53</f>
        <v>#REF!</v>
      </c>
      <c r="F51" s="94">
        <f>F52+F53</f>
        <v>46554.811600000008</v>
      </c>
    </row>
    <row r="52" spans="1:9" ht="31.5">
      <c r="A52" s="204" t="s">
        <v>45</v>
      </c>
      <c r="B52" s="120" t="s">
        <v>165</v>
      </c>
      <c r="C52" s="120" t="s">
        <v>152</v>
      </c>
      <c r="D52" s="119">
        <f>'пр.8 2024-2026г'!G61</f>
        <v>104.2</v>
      </c>
      <c r="E52" s="119" t="e">
        <f>#REF!</f>
        <v>#REF!</v>
      </c>
      <c r="F52" s="119">
        <f>'пр.8 2024-2026г'!H59</f>
        <v>108.3</v>
      </c>
    </row>
    <row r="53" spans="1:9" s="43" customFormat="1">
      <c r="A53" s="204" t="s">
        <v>46</v>
      </c>
      <c r="B53" s="120" t="s">
        <v>165</v>
      </c>
      <c r="C53" s="120" t="s">
        <v>155</v>
      </c>
      <c r="D53" s="119">
        <f>'пр.8 2024-2026г'!G290+'пр.8 2024-2026г'!G67</f>
        <v>51098.4136</v>
      </c>
      <c r="E53" s="119">
        <f>'пр.8 2024-2026г'!H290+'пр.8 2024-2026г'!H69</f>
        <v>1159.7116000000001</v>
      </c>
      <c r="F53" s="119">
        <f>'пр.8 2024-2026г'!H67+'пр.8 2024-2026г'!H290</f>
        <v>46446.511600000005</v>
      </c>
      <c r="I53" s="339"/>
    </row>
    <row r="54" spans="1:9" s="47" customFormat="1">
      <c r="A54" s="481" t="s">
        <v>358</v>
      </c>
      <c r="B54" s="120" t="s">
        <v>357</v>
      </c>
      <c r="C54" s="120" t="s">
        <v>357</v>
      </c>
      <c r="D54" s="119">
        <f>D55</f>
        <v>11058.59375</v>
      </c>
      <c r="E54" s="84"/>
      <c r="F54" s="119">
        <f>F55</f>
        <v>21556.333999999999</v>
      </c>
    </row>
    <row r="55" spans="1:9" s="47" customFormat="1">
      <c r="A55" s="305" t="s">
        <v>358</v>
      </c>
      <c r="B55" s="120" t="s">
        <v>357</v>
      </c>
      <c r="C55" s="120" t="s">
        <v>357</v>
      </c>
      <c r="D55" s="119">
        <f>D56</f>
        <v>11058.59375</v>
      </c>
      <c r="E55" s="84"/>
      <c r="F55" s="119">
        <f>F56</f>
        <v>21556.333999999999</v>
      </c>
    </row>
    <row r="56" spans="1:9" s="47" customFormat="1">
      <c r="A56" s="305" t="s">
        <v>360</v>
      </c>
      <c r="B56" s="120" t="s">
        <v>357</v>
      </c>
      <c r="C56" s="120" t="s">
        <v>357</v>
      </c>
      <c r="D56" s="119">
        <f>D57</f>
        <v>11058.59375</v>
      </c>
      <c r="E56" s="84"/>
      <c r="F56" s="119">
        <f>F57</f>
        <v>21556.333999999999</v>
      </c>
    </row>
    <row r="57" spans="1:9" s="47" customFormat="1">
      <c r="A57" s="305" t="s">
        <v>359</v>
      </c>
      <c r="B57" s="120" t="s">
        <v>357</v>
      </c>
      <c r="C57" s="120" t="s">
        <v>357</v>
      </c>
      <c r="D57" s="119">
        <f>D58</f>
        <v>11058.59375</v>
      </c>
      <c r="E57" s="84"/>
      <c r="F57" s="119">
        <f>F58</f>
        <v>21556.333999999999</v>
      </c>
    </row>
    <row r="58" spans="1:9" s="47" customFormat="1">
      <c r="A58" s="305" t="s">
        <v>358</v>
      </c>
      <c r="B58" s="120" t="s">
        <v>357</v>
      </c>
      <c r="C58" s="120" t="s">
        <v>357</v>
      </c>
      <c r="D58" s="119">
        <f>'пр.8 2024-2026г'!G570</f>
        <v>11058.59375</v>
      </c>
      <c r="E58" s="84"/>
      <c r="F58" s="119">
        <f>'пр.8 2024-2026г'!H570</f>
        <v>21556.333999999999</v>
      </c>
    </row>
    <row r="59" spans="1:9" s="47" customFormat="1">
      <c r="A59" s="297" t="s">
        <v>164</v>
      </c>
      <c r="B59" s="124"/>
      <c r="C59" s="124"/>
      <c r="D59" s="94">
        <f>D11+D19+D21+D25+D28+D30+D36+D40+D45+D49+D51+D54+D38</f>
        <v>1352142.7500000002</v>
      </c>
      <c r="E59" s="94" t="e">
        <f t="shared" ref="E59:F59" si="7">E11+E19+E21+E25+E28+E30+E36+E40+E45+E49+E51+E54+E38</f>
        <v>#REF!</v>
      </c>
      <c r="F59" s="94">
        <f t="shared" si="7"/>
        <v>1340355.78</v>
      </c>
      <c r="H59" s="343"/>
    </row>
    <row r="60" spans="1:9" s="47" customFormat="1">
      <c r="A60" s="44"/>
      <c r="B60" s="42"/>
      <c r="C60" s="42"/>
      <c r="D60" s="57">
        <f>'пр.8 2024-2026г'!G571</f>
        <v>11058.59375</v>
      </c>
      <c r="E60" s="319"/>
      <c r="F60" s="57">
        <f>'пр.8 2024-2026г'!H571</f>
        <v>21556.333999999999</v>
      </c>
    </row>
    <row r="61" spans="1:9" s="47" customFormat="1">
      <c r="A61" s="44"/>
      <c r="B61" s="42"/>
      <c r="C61" s="42"/>
      <c r="D61" s="57">
        <f>D63-D59</f>
        <v>0</v>
      </c>
      <c r="E61" s="57">
        <f t="shared" ref="E61" ca="1" si="8">E63-E59</f>
        <v>570.33000000007451</v>
      </c>
      <c r="F61" s="57">
        <f>F63-F59</f>
        <v>0</v>
      </c>
    </row>
    <row r="62" spans="1:9" s="47" customFormat="1">
      <c r="A62" s="44"/>
      <c r="B62" s="42"/>
      <c r="C62" s="42"/>
      <c r="D62" s="57"/>
      <c r="E62" s="319"/>
      <c r="F62" s="57"/>
    </row>
    <row r="63" spans="1:9" s="47" customFormat="1">
      <c r="A63" s="44"/>
      <c r="B63" s="42"/>
      <c r="C63" s="42"/>
      <c r="D63" s="57">
        <f>'пр.8 2024-2026г'!G575</f>
        <v>1352142.7500000002</v>
      </c>
      <c r="E63" s="57" t="e">
        <f ca="1">E61-E59</f>
        <v>#REF!</v>
      </c>
      <c r="F63" s="57">
        <f>'пр.8 2024-2026г'!H576</f>
        <v>1340355.7799999998</v>
      </c>
    </row>
    <row r="64" spans="1:9" s="47" customFormat="1">
      <c r="A64" s="44"/>
      <c r="B64" s="42"/>
      <c r="C64" s="42"/>
      <c r="D64" s="57"/>
      <c r="E64" s="57"/>
      <c r="F64" s="57"/>
    </row>
    <row r="65" spans="1:6" s="47" customFormat="1">
      <c r="A65" s="44"/>
      <c r="B65" s="42"/>
      <c r="C65" s="42"/>
      <c r="D65" s="57"/>
      <c r="E65" s="319"/>
      <c r="F65" s="57"/>
    </row>
  </sheetData>
  <autoFilter ref="A11:F61"/>
  <mergeCells count="2">
    <mergeCell ref="D7:F7"/>
    <mergeCell ref="A8:F8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L768"/>
  <sheetViews>
    <sheetView view="pageBreakPreview" zoomScale="70" zoomScaleSheetLayoutView="70" workbookViewId="0">
      <pane xSplit="1" ySplit="12" topLeftCell="B268" activePane="bottomRight" state="frozen"/>
      <selection activeCell="G149" sqref="G149"/>
      <selection pane="topRight" activeCell="G149" sqref="G149"/>
      <selection pane="bottomLeft" activeCell="G149" sqref="G149"/>
      <selection pane="bottomRight" activeCell="A275" sqref="A275:XFD281"/>
    </sheetView>
  </sheetViews>
  <sheetFormatPr defaultRowHeight="15.75"/>
  <cols>
    <col min="1" max="1" width="68.42578125" style="96" customWidth="1"/>
    <col min="2" max="2" width="10.7109375" style="42" customWidth="1"/>
    <col min="3" max="3" width="9.28515625" style="42" customWidth="1"/>
    <col min="4" max="4" width="9" style="42" customWidth="1"/>
    <col min="5" max="5" width="17.85546875" style="90" customWidth="1"/>
    <col min="6" max="6" width="8.7109375" style="56" customWidth="1"/>
    <col min="7" max="7" width="23.28515625" style="57" customWidth="1"/>
    <col min="8" max="8" width="20.5703125" style="319" customWidth="1"/>
    <col min="9" max="9" width="23.28515625" style="57" customWidth="1"/>
    <col min="10" max="10" width="20.5703125" style="319" customWidth="1"/>
    <col min="11" max="11" width="19.28515625" style="42" customWidth="1"/>
    <col min="12" max="12" width="18.7109375" style="42" customWidth="1"/>
    <col min="13" max="16384" width="9.140625" style="42"/>
  </cols>
  <sheetData>
    <row r="1" spans="1:12">
      <c r="D1" s="856" t="s">
        <v>344</v>
      </c>
      <c r="E1" s="856"/>
      <c r="F1" s="856"/>
      <c r="G1" s="856"/>
      <c r="H1" s="310"/>
      <c r="I1" s="725"/>
      <c r="J1" s="310"/>
    </row>
    <row r="2" spans="1:12">
      <c r="B2" s="856" t="s">
        <v>141</v>
      </c>
      <c r="C2" s="856"/>
      <c r="D2" s="856"/>
      <c r="E2" s="856"/>
      <c r="F2" s="856"/>
      <c r="G2" s="856"/>
      <c r="H2" s="310"/>
      <c r="I2" s="725"/>
      <c r="J2" s="310"/>
    </row>
    <row r="3" spans="1:12">
      <c r="C3" s="856" t="s">
        <v>132</v>
      </c>
      <c r="D3" s="856"/>
      <c r="E3" s="856"/>
      <c r="F3" s="856"/>
      <c r="G3" s="856"/>
      <c r="H3" s="310"/>
      <c r="I3" s="725"/>
      <c r="J3" s="310"/>
    </row>
    <row r="4" spans="1:12">
      <c r="C4" s="856" t="s">
        <v>104</v>
      </c>
      <c r="D4" s="856"/>
      <c r="E4" s="856"/>
      <c r="F4" s="856"/>
      <c r="G4" s="856"/>
      <c r="H4" s="310"/>
      <c r="I4" s="725"/>
      <c r="J4" s="310"/>
    </row>
    <row r="5" spans="1:12">
      <c r="C5" s="856" t="s">
        <v>133</v>
      </c>
      <c r="D5" s="856"/>
      <c r="E5" s="856"/>
      <c r="F5" s="856"/>
      <c r="G5" s="856"/>
      <c r="H5" s="310"/>
      <c r="I5" s="725"/>
      <c r="J5" s="310"/>
    </row>
    <row r="6" spans="1:12">
      <c r="C6" s="856" t="s">
        <v>1200</v>
      </c>
      <c r="D6" s="856"/>
      <c r="E6" s="856"/>
      <c r="F6" s="856"/>
      <c r="G6" s="856"/>
      <c r="H6" s="310"/>
      <c r="I6" s="725"/>
      <c r="J6" s="310"/>
    </row>
    <row r="7" spans="1:12" ht="15.75" customHeight="1">
      <c r="C7" s="861" t="s">
        <v>1203</v>
      </c>
      <c r="D7" s="861"/>
      <c r="E7" s="861"/>
      <c r="F7" s="861"/>
      <c r="G7" s="861"/>
      <c r="H7" s="732"/>
      <c r="I7" s="728"/>
      <c r="J7" s="732"/>
    </row>
    <row r="9" spans="1:12">
      <c r="A9" s="857" t="s">
        <v>1172</v>
      </c>
      <c r="B9" s="857"/>
      <c r="C9" s="857"/>
      <c r="D9" s="857"/>
      <c r="E9" s="857"/>
      <c r="F9" s="857"/>
      <c r="G9" s="858"/>
      <c r="H9" s="733"/>
      <c r="I9" s="726"/>
      <c r="J9" s="733"/>
    </row>
    <row r="10" spans="1:12">
      <c r="A10" s="859"/>
      <c r="B10" s="859"/>
      <c r="C10" s="859"/>
      <c r="D10" s="859"/>
      <c r="E10" s="859"/>
      <c r="F10" s="859"/>
      <c r="G10" s="860"/>
      <c r="H10" s="733"/>
      <c r="I10" s="727"/>
      <c r="J10" s="733"/>
    </row>
    <row r="11" spans="1:12">
      <c r="B11" s="58"/>
      <c r="C11" s="58"/>
      <c r="D11" s="58"/>
      <c r="E11" s="91"/>
      <c r="F11" s="59"/>
      <c r="G11" s="60" t="s">
        <v>105</v>
      </c>
      <c r="I11" s="785" t="s">
        <v>105</v>
      </c>
    </row>
    <row r="12" spans="1:12" s="62" customFormat="1" ht="68.25" customHeight="1">
      <c r="A12" s="65" t="s">
        <v>146</v>
      </c>
      <c r="B12" s="65" t="s">
        <v>239</v>
      </c>
      <c r="C12" s="65" t="s">
        <v>147</v>
      </c>
      <c r="D12" s="65" t="s">
        <v>148</v>
      </c>
      <c r="E12" s="88" t="s">
        <v>149</v>
      </c>
      <c r="F12" s="65" t="s">
        <v>150</v>
      </c>
      <c r="G12" s="61" t="s">
        <v>151</v>
      </c>
      <c r="H12" s="734" t="s">
        <v>19</v>
      </c>
      <c r="I12" s="61" t="s">
        <v>151</v>
      </c>
      <c r="J12" s="734" t="s">
        <v>19</v>
      </c>
    </row>
    <row r="13" spans="1:12" s="62" customFormat="1">
      <c r="A13" s="95" t="s">
        <v>134</v>
      </c>
      <c r="B13" s="71">
        <v>930</v>
      </c>
      <c r="C13" s="72"/>
      <c r="D13" s="72"/>
      <c r="E13" s="72"/>
      <c r="F13" s="72"/>
      <c r="G13" s="73">
        <f t="shared" ref="G13:J13" si="0">G14</f>
        <v>6297.3220000000001</v>
      </c>
      <c r="H13" s="73">
        <f t="shared" si="0"/>
        <v>1000</v>
      </c>
      <c r="I13" s="73">
        <f t="shared" si="0"/>
        <v>5193.7219999999998</v>
      </c>
      <c r="J13" s="73">
        <f t="shared" si="0"/>
        <v>0</v>
      </c>
      <c r="K13" s="680">
        <f>G13-I13</f>
        <v>1103.6000000000004</v>
      </c>
      <c r="L13" s="680">
        <f>H13-J13</f>
        <v>1000</v>
      </c>
    </row>
    <row r="14" spans="1:12" s="62" customFormat="1">
      <c r="A14" s="52" t="s">
        <v>166</v>
      </c>
      <c r="B14" s="74">
        <v>930</v>
      </c>
      <c r="C14" s="75" t="s">
        <v>152</v>
      </c>
      <c r="D14" s="75"/>
      <c r="E14" s="75"/>
      <c r="F14" s="75"/>
      <c r="G14" s="76">
        <f>G15+G34</f>
        <v>6297.3220000000001</v>
      </c>
      <c r="H14" s="76">
        <f>H15+H34</f>
        <v>1000</v>
      </c>
      <c r="I14" s="76">
        <f>I15+I34</f>
        <v>5193.7219999999998</v>
      </c>
      <c r="J14" s="76">
        <f>J15+J34</f>
        <v>0</v>
      </c>
      <c r="K14" s="680">
        <f t="shared" ref="K14:K77" si="1">G14-I14</f>
        <v>1103.6000000000004</v>
      </c>
      <c r="L14" s="680">
        <f t="shared" ref="L14:L77" si="2">H14-J14</f>
        <v>1000</v>
      </c>
    </row>
    <row r="15" spans="1:12" s="62" customFormat="1" ht="54.75" customHeight="1">
      <c r="A15" s="51" t="s">
        <v>272</v>
      </c>
      <c r="B15" s="77">
        <v>930</v>
      </c>
      <c r="C15" s="78" t="s">
        <v>152</v>
      </c>
      <c r="D15" s="78" t="s">
        <v>155</v>
      </c>
      <c r="E15" s="78"/>
      <c r="F15" s="78"/>
      <c r="G15" s="79">
        <f>G16+G28</f>
        <v>3328.04</v>
      </c>
      <c r="H15" s="79">
        <f>H16+H28</f>
        <v>500</v>
      </c>
      <c r="I15" s="79">
        <f>I16+I28</f>
        <v>2828.04</v>
      </c>
      <c r="J15" s="79">
        <f>J16+J28</f>
        <v>0</v>
      </c>
      <c r="K15" s="680">
        <f t="shared" si="1"/>
        <v>500</v>
      </c>
      <c r="L15" s="680">
        <f t="shared" si="2"/>
        <v>500</v>
      </c>
    </row>
    <row r="16" spans="1:12" s="62" customFormat="1" ht="54.75" customHeight="1">
      <c r="A16" s="49" t="s">
        <v>323</v>
      </c>
      <c r="B16" s="69">
        <v>930</v>
      </c>
      <c r="C16" s="67" t="s">
        <v>152</v>
      </c>
      <c r="D16" s="67" t="s">
        <v>155</v>
      </c>
      <c r="E16" s="67" t="s">
        <v>382</v>
      </c>
      <c r="F16" s="67"/>
      <c r="G16" s="76">
        <f>G17+G21+G31+G25</f>
        <v>3328.04</v>
      </c>
      <c r="H16" s="76">
        <f>H25</f>
        <v>500</v>
      </c>
      <c r="I16" s="76">
        <f>I17+I21+I31+I25</f>
        <v>2828.04</v>
      </c>
      <c r="J16" s="76">
        <f>J25</f>
        <v>0</v>
      </c>
      <c r="K16" s="680">
        <f t="shared" si="1"/>
        <v>500</v>
      </c>
      <c r="L16" s="680">
        <f t="shared" si="2"/>
        <v>500</v>
      </c>
    </row>
    <row r="17" spans="1:12" s="62" customFormat="1" ht="31.5">
      <c r="A17" s="46" t="s">
        <v>298</v>
      </c>
      <c r="B17" s="69">
        <v>930</v>
      </c>
      <c r="C17" s="67" t="s">
        <v>152</v>
      </c>
      <c r="D17" s="67" t="s">
        <v>155</v>
      </c>
      <c r="E17" s="67" t="s">
        <v>383</v>
      </c>
      <c r="F17" s="67"/>
      <c r="G17" s="169">
        <f>G18+G19+G20</f>
        <v>538.47199999999998</v>
      </c>
      <c r="H17" s="169">
        <f>H18+H19+H20</f>
        <v>0</v>
      </c>
      <c r="I17" s="169">
        <f>I18+I19+I20</f>
        <v>538.47199999999998</v>
      </c>
      <c r="J17" s="169">
        <f>J18+J19+J20</f>
        <v>0</v>
      </c>
      <c r="K17" s="680">
        <f t="shared" si="1"/>
        <v>0</v>
      </c>
      <c r="L17" s="680">
        <f t="shared" si="2"/>
        <v>0</v>
      </c>
    </row>
    <row r="18" spans="1:12" s="62" customFormat="1">
      <c r="A18" s="48" t="s">
        <v>324</v>
      </c>
      <c r="B18" s="70">
        <v>930</v>
      </c>
      <c r="C18" s="68" t="s">
        <v>152</v>
      </c>
      <c r="D18" s="68" t="s">
        <v>155</v>
      </c>
      <c r="E18" s="67" t="s">
        <v>383</v>
      </c>
      <c r="F18" s="68" t="s">
        <v>311</v>
      </c>
      <c r="G18" s="167">
        <v>317.56700000000001</v>
      </c>
      <c r="H18" s="81">
        <v>0</v>
      </c>
      <c r="I18" s="167">
        <v>317.56700000000001</v>
      </c>
      <c r="J18" s="81">
        <v>0</v>
      </c>
      <c r="K18" s="680">
        <f t="shared" si="1"/>
        <v>0</v>
      </c>
      <c r="L18" s="680">
        <f t="shared" si="2"/>
        <v>0</v>
      </c>
    </row>
    <row r="19" spans="1:12" s="62" customFormat="1" ht="47.25">
      <c r="A19" s="164" t="s">
        <v>325</v>
      </c>
      <c r="B19" s="70">
        <v>930</v>
      </c>
      <c r="C19" s="68" t="s">
        <v>152</v>
      </c>
      <c r="D19" s="68" t="s">
        <v>155</v>
      </c>
      <c r="E19" s="67" t="s">
        <v>383</v>
      </c>
      <c r="F19" s="68" t="s">
        <v>326</v>
      </c>
      <c r="G19" s="167">
        <v>95.905000000000001</v>
      </c>
      <c r="H19" s="735">
        <v>0</v>
      </c>
      <c r="I19" s="167">
        <v>95.905000000000001</v>
      </c>
      <c r="J19" s="735">
        <v>0</v>
      </c>
      <c r="K19" s="680">
        <f t="shared" si="1"/>
        <v>0</v>
      </c>
      <c r="L19" s="680">
        <f t="shared" si="2"/>
        <v>0</v>
      </c>
    </row>
    <row r="20" spans="1:12" s="62" customFormat="1" ht="31.5">
      <c r="A20" s="123" t="s">
        <v>209</v>
      </c>
      <c r="B20" s="70">
        <v>930</v>
      </c>
      <c r="C20" s="68" t="s">
        <v>152</v>
      </c>
      <c r="D20" s="68" t="s">
        <v>155</v>
      </c>
      <c r="E20" s="67" t="s">
        <v>383</v>
      </c>
      <c r="F20" s="68" t="s">
        <v>312</v>
      </c>
      <c r="G20" s="167">
        <v>125</v>
      </c>
      <c r="H20" s="735">
        <v>0</v>
      </c>
      <c r="I20" s="167">
        <v>125</v>
      </c>
      <c r="J20" s="735">
        <v>0</v>
      </c>
      <c r="K20" s="680">
        <f t="shared" si="1"/>
        <v>0</v>
      </c>
      <c r="L20" s="680">
        <f t="shared" si="2"/>
        <v>0</v>
      </c>
    </row>
    <row r="21" spans="1:12" s="62" customFormat="1" ht="35.25" customHeight="1">
      <c r="A21" s="49" t="s">
        <v>290</v>
      </c>
      <c r="B21" s="70">
        <v>930</v>
      </c>
      <c r="C21" s="67" t="s">
        <v>152</v>
      </c>
      <c r="D21" s="67" t="s">
        <v>155</v>
      </c>
      <c r="E21" s="67" t="s">
        <v>889</v>
      </c>
      <c r="F21" s="67"/>
      <c r="G21" s="169">
        <f>G22+G24+G23</f>
        <v>1719.568</v>
      </c>
      <c r="H21" s="169">
        <f>H22+H24</f>
        <v>0</v>
      </c>
      <c r="I21" s="169">
        <f>I22+I24+I23</f>
        <v>1719.568</v>
      </c>
      <c r="J21" s="169">
        <f>J22+J24</f>
        <v>0</v>
      </c>
      <c r="K21" s="680">
        <f t="shared" si="1"/>
        <v>0</v>
      </c>
      <c r="L21" s="680">
        <f t="shared" si="2"/>
        <v>0</v>
      </c>
    </row>
    <row r="22" spans="1:12" s="62" customFormat="1">
      <c r="A22" s="48" t="s">
        <v>324</v>
      </c>
      <c r="B22" s="70">
        <v>930</v>
      </c>
      <c r="C22" s="68" t="s">
        <v>152</v>
      </c>
      <c r="D22" s="68" t="s">
        <v>155</v>
      </c>
      <c r="E22" s="68" t="s">
        <v>889</v>
      </c>
      <c r="F22" s="68" t="s">
        <v>311</v>
      </c>
      <c r="G22" s="167">
        <v>1282.3</v>
      </c>
      <c r="H22" s="81">
        <v>0</v>
      </c>
      <c r="I22" s="167">
        <v>1282.3</v>
      </c>
      <c r="J22" s="81">
        <v>0</v>
      </c>
      <c r="K22" s="680">
        <f t="shared" si="1"/>
        <v>0</v>
      </c>
      <c r="L22" s="680">
        <f t="shared" si="2"/>
        <v>0</v>
      </c>
    </row>
    <row r="23" spans="1:12" s="62" customFormat="1" ht="31.5">
      <c r="A23" s="48" t="s">
        <v>6</v>
      </c>
      <c r="B23" s="70">
        <v>930</v>
      </c>
      <c r="C23" s="68" t="s">
        <v>152</v>
      </c>
      <c r="D23" s="68" t="s">
        <v>155</v>
      </c>
      <c r="E23" s="68" t="s">
        <v>889</v>
      </c>
      <c r="F23" s="68" t="s">
        <v>316</v>
      </c>
      <c r="G23" s="167">
        <v>50</v>
      </c>
      <c r="H23" s="81">
        <v>0</v>
      </c>
      <c r="I23" s="167">
        <v>50</v>
      </c>
      <c r="J23" s="81"/>
      <c r="K23" s="680">
        <f t="shared" si="1"/>
        <v>0</v>
      </c>
      <c r="L23" s="680">
        <f t="shared" si="2"/>
        <v>0</v>
      </c>
    </row>
    <row r="24" spans="1:12" s="62" customFormat="1" ht="54.75" customHeight="1">
      <c r="A24" s="164" t="s">
        <v>325</v>
      </c>
      <c r="B24" s="70">
        <v>930</v>
      </c>
      <c r="C24" s="68" t="s">
        <v>152</v>
      </c>
      <c r="D24" s="68" t="s">
        <v>155</v>
      </c>
      <c r="E24" s="68" t="s">
        <v>889</v>
      </c>
      <c r="F24" s="68" t="s">
        <v>326</v>
      </c>
      <c r="G24" s="167">
        <v>387.26799999999997</v>
      </c>
      <c r="H24" s="81">
        <v>0</v>
      </c>
      <c r="I24" s="167">
        <v>387.26799999999997</v>
      </c>
      <c r="J24" s="81">
        <v>0</v>
      </c>
      <c r="K24" s="680">
        <f t="shared" si="1"/>
        <v>0</v>
      </c>
      <c r="L24" s="680">
        <f t="shared" si="2"/>
        <v>0</v>
      </c>
    </row>
    <row r="25" spans="1:12" s="62" customFormat="1" ht="63">
      <c r="A25" s="46" t="s">
        <v>570</v>
      </c>
      <c r="B25" s="70">
        <v>930</v>
      </c>
      <c r="C25" s="68" t="s">
        <v>152</v>
      </c>
      <c r="D25" s="68" t="s">
        <v>155</v>
      </c>
      <c r="E25" s="68" t="s">
        <v>1041</v>
      </c>
      <c r="F25" s="68"/>
      <c r="G25" s="167">
        <f>G26+G27</f>
        <v>500</v>
      </c>
      <c r="H25" s="81">
        <f>G25</f>
        <v>500</v>
      </c>
      <c r="I25" s="167">
        <f>I26+I27</f>
        <v>0</v>
      </c>
      <c r="J25" s="81">
        <f>I25</f>
        <v>0</v>
      </c>
      <c r="K25" s="680">
        <f t="shared" si="1"/>
        <v>500</v>
      </c>
      <c r="L25" s="680">
        <f t="shared" si="2"/>
        <v>500</v>
      </c>
    </row>
    <row r="26" spans="1:12" s="62" customFormat="1">
      <c r="A26" s="48" t="s">
        <v>324</v>
      </c>
      <c r="B26" s="70">
        <v>930</v>
      </c>
      <c r="C26" s="68" t="s">
        <v>152</v>
      </c>
      <c r="D26" s="68" t="s">
        <v>155</v>
      </c>
      <c r="E26" s="68" t="s">
        <v>1041</v>
      </c>
      <c r="F26" s="68" t="s">
        <v>311</v>
      </c>
      <c r="G26" s="167">
        <v>384.02499999999998</v>
      </c>
      <c r="H26" s="81">
        <f>G26</f>
        <v>384.02499999999998</v>
      </c>
      <c r="I26" s="167"/>
      <c r="J26" s="81">
        <f>I26</f>
        <v>0</v>
      </c>
      <c r="K26" s="680">
        <f t="shared" si="1"/>
        <v>384.02499999999998</v>
      </c>
      <c r="L26" s="680">
        <f t="shared" si="2"/>
        <v>384.02499999999998</v>
      </c>
    </row>
    <row r="27" spans="1:12" s="62" customFormat="1" ht="47.25">
      <c r="A27" s="164" t="s">
        <v>325</v>
      </c>
      <c r="B27" s="70">
        <v>930</v>
      </c>
      <c r="C27" s="68" t="s">
        <v>152</v>
      </c>
      <c r="D27" s="68" t="s">
        <v>155</v>
      </c>
      <c r="E27" s="68" t="s">
        <v>1041</v>
      </c>
      <c r="F27" s="68" t="s">
        <v>326</v>
      </c>
      <c r="G27" s="167">
        <v>115.97499999999999</v>
      </c>
      <c r="H27" s="81">
        <f>G27</f>
        <v>115.97499999999999</v>
      </c>
      <c r="I27" s="167"/>
      <c r="J27" s="81">
        <f>I27</f>
        <v>0</v>
      </c>
      <c r="K27" s="680">
        <f t="shared" si="1"/>
        <v>115.97499999999999</v>
      </c>
      <c r="L27" s="680">
        <f t="shared" si="2"/>
        <v>115.97499999999999</v>
      </c>
    </row>
    <row r="28" spans="1:12" s="62" customFormat="1" ht="31.5" hidden="1">
      <c r="A28" s="164" t="s">
        <v>1069</v>
      </c>
      <c r="B28" s="70">
        <v>930</v>
      </c>
      <c r="C28" s="68" t="s">
        <v>152</v>
      </c>
      <c r="D28" s="68" t="s">
        <v>155</v>
      </c>
      <c r="E28" s="68" t="s">
        <v>1070</v>
      </c>
      <c r="F28" s="68"/>
      <c r="G28" s="167">
        <f>G29+G30</f>
        <v>0</v>
      </c>
      <c r="H28" s="81">
        <f>H29+H30</f>
        <v>0</v>
      </c>
      <c r="I28" s="167">
        <f>I29+I30</f>
        <v>0</v>
      </c>
      <c r="J28" s="81">
        <f>J29+J30</f>
        <v>0</v>
      </c>
      <c r="K28" s="680">
        <f t="shared" si="1"/>
        <v>0</v>
      </c>
      <c r="L28" s="680">
        <f t="shared" si="2"/>
        <v>0</v>
      </c>
    </row>
    <row r="29" spans="1:12" s="62" customFormat="1" hidden="1">
      <c r="A29" s="48" t="s">
        <v>324</v>
      </c>
      <c r="B29" s="70">
        <v>930</v>
      </c>
      <c r="C29" s="68" t="s">
        <v>152</v>
      </c>
      <c r="D29" s="68" t="s">
        <v>155</v>
      </c>
      <c r="E29" s="68" t="s">
        <v>1070</v>
      </c>
      <c r="F29" s="68" t="s">
        <v>311</v>
      </c>
      <c r="G29" s="167"/>
      <c r="H29" s="81">
        <f>G29</f>
        <v>0</v>
      </c>
      <c r="I29" s="167"/>
      <c r="J29" s="81">
        <f>I29</f>
        <v>0</v>
      </c>
      <c r="K29" s="680">
        <f t="shared" si="1"/>
        <v>0</v>
      </c>
      <c r="L29" s="680">
        <f t="shared" si="2"/>
        <v>0</v>
      </c>
    </row>
    <row r="30" spans="1:12" s="62" customFormat="1" ht="47.25" hidden="1">
      <c r="A30" s="164" t="s">
        <v>325</v>
      </c>
      <c r="B30" s="70">
        <v>930</v>
      </c>
      <c r="C30" s="68" t="s">
        <v>152</v>
      </c>
      <c r="D30" s="68" t="s">
        <v>155</v>
      </c>
      <c r="E30" s="68" t="s">
        <v>1070</v>
      </c>
      <c r="F30" s="68" t="s">
        <v>326</v>
      </c>
      <c r="G30" s="167"/>
      <c r="H30" s="81">
        <f>G30</f>
        <v>0</v>
      </c>
      <c r="I30" s="167"/>
      <c r="J30" s="81">
        <f>I30</f>
        <v>0</v>
      </c>
      <c r="K30" s="680">
        <f t="shared" si="1"/>
        <v>0</v>
      </c>
      <c r="L30" s="680">
        <f t="shared" si="2"/>
        <v>0</v>
      </c>
    </row>
    <row r="31" spans="1:12" s="64" customFormat="1">
      <c r="A31" s="49" t="s">
        <v>111</v>
      </c>
      <c r="B31" s="69">
        <v>930</v>
      </c>
      <c r="C31" s="67" t="s">
        <v>152</v>
      </c>
      <c r="D31" s="67" t="s">
        <v>155</v>
      </c>
      <c r="E31" s="67" t="s">
        <v>384</v>
      </c>
      <c r="F31" s="67"/>
      <c r="G31" s="169">
        <f>G32</f>
        <v>570</v>
      </c>
      <c r="H31" s="169">
        <f>H33</f>
        <v>0</v>
      </c>
      <c r="I31" s="169">
        <f>I32</f>
        <v>570</v>
      </c>
      <c r="J31" s="169">
        <f>J33</f>
        <v>0</v>
      </c>
      <c r="K31" s="680">
        <f t="shared" si="1"/>
        <v>0</v>
      </c>
      <c r="L31" s="680">
        <f t="shared" si="2"/>
        <v>0</v>
      </c>
    </row>
    <row r="32" spans="1:12" s="64" customFormat="1" ht="31.5">
      <c r="A32" s="49" t="s">
        <v>297</v>
      </c>
      <c r="B32" s="69">
        <v>930</v>
      </c>
      <c r="C32" s="67" t="s">
        <v>152</v>
      </c>
      <c r="D32" s="67" t="s">
        <v>155</v>
      </c>
      <c r="E32" s="67" t="s">
        <v>1</v>
      </c>
      <c r="F32" s="67"/>
      <c r="G32" s="169">
        <f>G33</f>
        <v>570</v>
      </c>
      <c r="H32" s="169">
        <v>0</v>
      </c>
      <c r="I32" s="169">
        <f>I33</f>
        <v>570</v>
      </c>
      <c r="J32" s="169"/>
      <c r="K32" s="680">
        <f t="shared" si="1"/>
        <v>0</v>
      </c>
      <c r="L32" s="680">
        <f t="shared" si="2"/>
        <v>0</v>
      </c>
    </row>
    <row r="33" spans="1:12" s="62" customFormat="1" ht="51" customHeight="1">
      <c r="A33" s="138" t="s">
        <v>95</v>
      </c>
      <c r="B33" s="124">
        <v>930</v>
      </c>
      <c r="C33" s="120" t="s">
        <v>152</v>
      </c>
      <c r="D33" s="120" t="s">
        <v>155</v>
      </c>
      <c r="E33" s="68" t="s">
        <v>1</v>
      </c>
      <c r="F33" s="120" t="s">
        <v>96</v>
      </c>
      <c r="G33" s="119">
        <v>570</v>
      </c>
      <c r="H33" s="119">
        <v>0</v>
      </c>
      <c r="I33" s="119">
        <v>570</v>
      </c>
      <c r="J33" s="119">
        <v>0</v>
      </c>
      <c r="K33" s="680">
        <f t="shared" si="1"/>
        <v>0</v>
      </c>
      <c r="L33" s="680">
        <f t="shared" si="2"/>
        <v>0</v>
      </c>
    </row>
    <row r="34" spans="1:12" s="62" customFormat="1" ht="47.25">
      <c r="A34" s="277" t="s">
        <v>109</v>
      </c>
      <c r="B34" s="278">
        <v>930</v>
      </c>
      <c r="C34" s="279" t="s">
        <v>152</v>
      </c>
      <c r="D34" s="279" t="s">
        <v>158</v>
      </c>
      <c r="E34" s="279"/>
      <c r="F34" s="279"/>
      <c r="G34" s="187">
        <f>G36++G39+G45+G50+G53</f>
        <v>2969.2820000000002</v>
      </c>
      <c r="H34" s="187">
        <f>H36++H39+H45+H50+H53</f>
        <v>500</v>
      </c>
      <c r="I34" s="187">
        <f>I36++I39+I45+I50+I53</f>
        <v>2365.6819999999998</v>
      </c>
      <c r="J34" s="187">
        <f>J36++J39+J45+J50+J53</f>
        <v>0</v>
      </c>
      <c r="K34" s="680">
        <f t="shared" si="1"/>
        <v>603.60000000000036</v>
      </c>
      <c r="L34" s="680">
        <f t="shared" si="2"/>
        <v>500</v>
      </c>
    </row>
    <row r="35" spans="1:12" s="62" customFormat="1" ht="31.5">
      <c r="A35" s="186" t="s">
        <v>295</v>
      </c>
      <c r="B35" s="276">
        <v>930</v>
      </c>
      <c r="C35" s="168" t="s">
        <v>152</v>
      </c>
      <c r="D35" s="168" t="s">
        <v>158</v>
      </c>
      <c r="E35" s="168" t="s">
        <v>890</v>
      </c>
      <c r="F35" s="75"/>
      <c r="G35" s="76">
        <f>G36</f>
        <v>552.79999999999995</v>
      </c>
      <c r="H35" s="76">
        <f>H36+H39+H45</f>
        <v>0</v>
      </c>
      <c r="I35" s="76">
        <f>I36</f>
        <v>449.2</v>
      </c>
      <c r="J35" s="76">
        <f>J36+J39+J45</f>
        <v>0</v>
      </c>
      <c r="K35" s="680">
        <f t="shared" si="1"/>
        <v>103.59999999999997</v>
      </c>
      <c r="L35" s="680">
        <f t="shared" si="2"/>
        <v>0</v>
      </c>
    </row>
    <row r="36" spans="1:12" s="62" customFormat="1">
      <c r="A36" s="48" t="s">
        <v>324</v>
      </c>
      <c r="B36" s="70">
        <v>930</v>
      </c>
      <c r="C36" s="68" t="s">
        <v>152</v>
      </c>
      <c r="D36" s="68" t="s">
        <v>158</v>
      </c>
      <c r="E36" s="172" t="s">
        <v>890</v>
      </c>
      <c r="F36" s="168"/>
      <c r="G36" s="169">
        <f>G37+G38</f>
        <v>552.79999999999995</v>
      </c>
      <c r="H36" s="169">
        <f>H37+H38</f>
        <v>0</v>
      </c>
      <c r="I36" s="169">
        <f>I37+I38</f>
        <v>449.2</v>
      </c>
      <c r="J36" s="169">
        <f>J37+J38</f>
        <v>0</v>
      </c>
      <c r="K36" s="680">
        <f t="shared" si="1"/>
        <v>103.59999999999997</v>
      </c>
      <c r="L36" s="680">
        <f t="shared" si="2"/>
        <v>0</v>
      </c>
    </row>
    <row r="37" spans="1:12" s="62" customFormat="1" ht="47.25">
      <c r="A37" s="164" t="s">
        <v>325</v>
      </c>
      <c r="B37" s="70">
        <v>930</v>
      </c>
      <c r="C37" s="68" t="s">
        <v>152</v>
      </c>
      <c r="D37" s="68" t="s">
        <v>158</v>
      </c>
      <c r="E37" s="172" t="s">
        <v>890</v>
      </c>
      <c r="F37" s="68" t="s">
        <v>311</v>
      </c>
      <c r="G37" s="119">
        <v>424.57799999999997</v>
      </c>
      <c r="H37" s="81">
        <v>0</v>
      </c>
      <c r="I37" s="119">
        <v>345</v>
      </c>
      <c r="J37" s="81">
        <v>0</v>
      </c>
      <c r="K37" s="680">
        <f t="shared" si="1"/>
        <v>79.577999999999975</v>
      </c>
      <c r="L37" s="680">
        <f t="shared" si="2"/>
        <v>0</v>
      </c>
    </row>
    <row r="38" spans="1:12" s="62" customFormat="1" ht="31.5">
      <c r="A38" s="123" t="s">
        <v>209</v>
      </c>
      <c r="B38" s="70">
        <v>930</v>
      </c>
      <c r="C38" s="68" t="s">
        <v>152</v>
      </c>
      <c r="D38" s="68" t="s">
        <v>158</v>
      </c>
      <c r="E38" s="172" t="s">
        <v>890</v>
      </c>
      <c r="F38" s="68" t="s">
        <v>326</v>
      </c>
      <c r="G38" s="119">
        <v>128.22200000000001</v>
      </c>
      <c r="H38" s="81">
        <v>0</v>
      </c>
      <c r="I38" s="119">
        <v>104.2</v>
      </c>
      <c r="J38" s="81">
        <v>0</v>
      </c>
      <c r="K38" s="680">
        <f t="shared" si="1"/>
        <v>24.022000000000006</v>
      </c>
      <c r="L38" s="680">
        <f t="shared" si="2"/>
        <v>0</v>
      </c>
    </row>
    <row r="39" spans="1:12" s="62" customFormat="1" ht="31.5">
      <c r="A39" s="186" t="s">
        <v>323</v>
      </c>
      <c r="B39" s="275">
        <v>930</v>
      </c>
      <c r="C39" s="168" t="s">
        <v>152</v>
      </c>
      <c r="D39" s="168" t="s">
        <v>158</v>
      </c>
      <c r="E39" s="168" t="s">
        <v>382</v>
      </c>
      <c r="F39" s="168"/>
      <c r="G39" s="169">
        <f>G40</f>
        <v>1355.73</v>
      </c>
      <c r="H39" s="169">
        <f>H41+H43</f>
        <v>0</v>
      </c>
      <c r="I39" s="169">
        <f>I40</f>
        <v>1355.73</v>
      </c>
      <c r="J39" s="169">
        <f>J41+J43</f>
        <v>0</v>
      </c>
      <c r="K39" s="680">
        <f t="shared" si="1"/>
        <v>0</v>
      </c>
      <c r="L39" s="680">
        <f t="shared" si="2"/>
        <v>0</v>
      </c>
    </row>
    <row r="40" spans="1:12" s="62" customFormat="1" ht="47.25">
      <c r="A40" s="186" t="s">
        <v>291</v>
      </c>
      <c r="B40" s="276">
        <v>930</v>
      </c>
      <c r="C40" s="168" t="s">
        <v>152</v>
      </c>
      <c r="D40" s="168" t="s">
        <v>158</v>
      </c>
      <c r="E40" s="168" t="s">
        <v>891</v>
      </c>
      <c r="F40" s="168"/>
      <c r="G40" s="169">
        <f>G41+G43+G42+G44</f>
        <v>1355.73</v>
      </c>
      <c r="H40" s="169">
        <v>0</v>
      </c>
      <c r="I40" s="169">
        <f>I41+I43+I42+I44</f>
        <v>1355.73</v>
      </c>
      <c r="J40" s="169">
        <v>0</v>
      </c>
      <c r="K40" s="680">
        <f t="shared" si="1"/>
        <v>0</v>
      </c>
      <c r="L40" s="680">
        <f t="shared" si="2"/>
        <v>0</v>
      </c>
    </row>
    <row r="41" spans="1:12" s="62" customFormat="1">
      <c r="A41" s="48" t="s">
        <v>324</v>
      </c>
      <c r="B41" s="70">
        <v>930</v>
      </c>
      <c r="C41" s="68" t="s">
        <v>152</v>
      </c>
      <c r="D41" s="68" t="s">
        <v>158</v>
      </c>
      <c r="E41" s="172" t="s">
        <v>891</v>
      </c>
      <c r="F41" s="68" t="s">
        <v>311</v>
      </c>
      <c r="G41" s="81">
        <v>1041.2670000000001</v>
      </c>
      <c r="H41" s="81">
        <v>0</v>
      </c>
      <c r="I41" s="81">
        <v>1041.2670000000001</v>
      </c>
      <c r="J41" s="81">
        <v>0</v>
      </c>
      <c r="K41" s="680">
        <f t="shared" si="1"/>
        <v>0</v>
      </c>
      <c r="L41" s="680">
        <f t="shared" si="2"/>
        <v>0</v>
      </c>
    </row>
    <row r="42" spans="1:12" s="62" customFormat="1" ht="31.5" hidden="1">
      <c r="A42" s="48" t="s">
        <v>6</v>
      </c>
      <c r="B42" s="70">
        <v>930</v>
      </c>
      <c r="C42" s="68" t="s">
        <v>152</v>
      </c>
      <c r="D42" s="68" t="s">
        <v>158</v>
      </c>
      <c r="E42" s="172" t="s">
        <v>891</v>
      </c>
      <c r="F42" s="68" t="s">
        <v>316</v>
      </c>
      <c r="G42" s="81"/>
      <c r="H42" s="81"/>
      <c r="I42" s="81"/>
      <c r="J42" s="81"/>
      <c r="K42" s="680">
        <f t="shared" si="1"/>
        <v>0</v>
      </c>
      <c r="L42" s="680">
        <f t="shared" si="2"/>
        <v>0</v>
      </c>
    </row>
    <row r="43" spans="1:12" s="62" customFormat="1" ht="47.25">
      <c r="A43" s="164" t="s">
        <v>325</v>
      </c>
      <c r="B43" s="70">
        <v>930</v>
      </c>
      <c r="C43" s="68" t="s">
        <v>152</v>
      </c>
      <c r="D43" s="68" t="s">
        <v>158</v>
      </c>
      <c r="E43" s="172" t="s">
        <v>891</v>
      </c>
      <c r="F43" s="68" t="s">
        <v>326</v>
      </c>
      <c r="G43" s="81">
        <v>314.46300000000002</v>
      </c>
      <c r="H43" s="735">
        <v>0</v>
      </c>
      <c r="I43" s="81">
        <v>314.46300000000002</v>
      </c>
      <c r="J43" s="735">
        <v>0</v>
      </c>
      <c r="K43" s="680">
        <f t="shared" si="1"/>
        <v>0</v>
      </c>
      <c r="L43" s="680">
        <f t="shared" si="2"/>
        <v>0</v>
      </c>
    </row>
    <row r="44" spans="1:12" s="62" customFormat="1" ht="31.5" hidden="1">
      <c r="A44" s="123" t="s">
        <v>209</v>
      </c>
      <c r="B44" s="70">
        <v>930</v>
      </c>
      <c r="C44" s="68" t="s">
        <v>152</v>
      </c>
      <c r="D44" s="68" t="s">
        <v>158</v>
      </c>
      <c r="E44" s="172" t="s">
        <v>891</v>
      </c>
      <c r="F44" s="68" t="s">
        <v>312</v>
      </c>
      <c r="G44" s="81"/>
      <c r="H44" s="735"/>
      <c r="I44" s="81"/>
      <c r="J44" s="735"/>
      <c r="K44" s="680">
        <f t="shared" si="1"/>
        <v>0</v>
      </c>
      <c r="L44" s="680">
        <f t="shared" si="2"/>
        <v>0</v>
      </c>
    </row>
    <row r="45" spans="1:12" s="64" customFormat="1" ht="31.5">
      <c r="A45" s="186" t="s">
        <v>180</v>
      </c>
      <c r="B45" s="275">
        <v>930</v>
      </c>
      <c r="C45" s="168" t="s">
        <v>152</v>
      </c>
      <c r="D45" s="168" t="s">
        <v>158</v>
      </c>
      <c r="E45" s="168" t="s">
        <v>892</v>
      </c>
      <c r="F45" s="168"/>
      <c r="G45" s="169">
        <f>G46+G48+G47+G49</f>
        <v>560.75199999999995</v>
      </c>
      <c r="H45" s="735">
        <v>0</v>
      </c>
      <c r="I45" s="169">
        <f>I46+I48+I47+I49</f>
        <v>560.75199999999995</v>
      </c>
      <c r="J45" s="735">
        <v>0</v>
      </c>
      <c r="K45" s="680">
        <f t="shared" si="1"/>
        <v>0</v>
      </c>
      <c r="L45" s="680">
        <f t="shared" si="2"/>
        <v>0</v>
      </c>
    </row>
    <row r="46" spans="1:12" s="62" customFormat="1" ht="26.25" customHeight="1">
      <c r="A46" s="48" t="s">
        <v>324</v>
      </c>
      <c r="B46" s="70">
        <v>930</v>
      </c>
      <c r="C46" s="68" t="s">
        <v>152</v>
      </c>
      <c r="D46" s="68" t="s">
        <v>158</v>
      </c>
      <c r="E46" s="172" t="s">
        <v>892</v>
      </c>
      <c r="F46" s="68" t="s">
        <v>311</v>
      </c>
      <c r="G46" s="81">
        <v>430.685</v>
      </c>
      <c r="H46" s="735">
        <v>0</v>
      </c>
      <c r="I46" s="81">
        <v>430.685</v>
      </c>
      <c r="J46" s="735">
        <v>0</v>
      </c>
      <c r="K46" s="680">
        <f t="shared" si="1"/>
        <v>0</v>
      </c>
      <c r="L46" s="680">
        <f t="shared" si="2"/>
        <v>0</v>
      </c>
    </row>
    <row r="47" spans="1:12" s="62" customFormat="1" ht="40.5" hidden="1" customHeight="1">
      <c r="A47" s="48" t="s">
        <v>6</v>
      </c>
      <c r="B47" s="70">
        <v>930</v>
      </c>
      <c r="C47" s="68" t="s">
        <v>152</v>
      </c>
      <c r="D47" s="68" t="s">
        <v>158</v>
      </c>
      <c r="E47" s="172" t="s">
        <v>892</v>
      </c>
      <c r="F47" s="68" t="s">
        <v>316</v>
      </c>
      <c r="G47" s="81"/>
      <c r="H47" s="735"/>
      <c r="I47" s="81"/>
      <c r="J47" s="735"/>
      <c r="K47" s="680">
        <f t="shared" si="1"/>
        <v>0</v>
      </c>
      <c r="L47" s="680">
        <f t="shared" si="2"/>
        <v>0</v>
      </c>
    </row>
    <row r="48" spans="1:12" s="62" customFormat="1" ht="31.5">
      <c r="A48" s="48" t="s">
        <v>110</v>
      </c>
      <c r="B48" s="70">
        <v>930</v>
      </c>
      <c r="C48" s="68" t="s">
        <v>152</v>
      </c>
      <c r="D48" s="68" t="s">
        <v>158</v>
      </c>
      <c r="E48" s="172" t="s">
        <v>892</v>
      </c>
      <c r="F48" s="68" t="s">
        <v>326</v>
      </c>
      <c r="G48" s="81">
        <v>130.06700000000001</v>
      </c>
      <c r="H48" s="735">
        <v>0</v>
      </c>
      <c r="I48" s="81">
        <v>130.06700000000001</v>
      </c>
      <c r="J48" s="735">
        <v>0</v>
      </c>
      <c r="K48" s="680">
        <f t="shared" si="1"/>
        <v>0</v>
      </c>
      <c r="L48" s="680">
        <f t="shared" si="2"/>
        <v>0</v>
      </c>
    </row>
    <row r="49" spans="1:12" s="62" customFormat="1" ht="31.5" hidden="1">
      <c r="A49" s="123" t="s">
        <v>209</v>
      </c>
      <c r="B49" s="70">
        <v>930</v>
      </c>
      <c r="C49" s="68" t="s">
        <v>152</v>
      </c>
      <c r="D49" s="68" t="s">
        <v>158</v>
      </c>
      <c r="E49" s="172" t="s">
        <v>892</v>
      </c>
      <c r="F49" s="68" t="s">
        <v>312</v>
      </c>
      <c r="G49" s="81"/>
      <c r="H49" s="735"/>
      <c r="I49" s="81"/>
      <c r="J49" s="735"/>
      <c r="K49" s="680">
        <f t="shared" si="1"/>
        <v>0</v>
      </c>
      <c r="L49" s="680">
        <f t="shared" si="2"/>
        <v>0</v>
      </c>
    </row>
    <row r="50" spans="1:12" s="62" customFormat="1" ht="63">
      <c r="A50" s="46" t="s">
        <v>570</v>
      </c>
      <c r="B50" s="70">
        <v>930</v>
      </c>
      <c r="C50" s="68" t="s">
        <v>152</v>
      </c>
      <c r="D50" s="68" t="s">
        <v>158</v>
      </c>
      <c r="E50" s="68" t="s">
        <v>1041</v>
      </c>
      <c r="F50" s="68"/>
      <c r="G50" s="81">
        <f>G51+G52</f>
        <v>500</v>
      </c>
      <c r="H50" s="81">
        <f>H51+H52</f>
        <v>500</v>
      </c>
      <c r="I50" s="81">
        <f>I51+I52</f>
        <v>0</v>
      </c>
      <c r="J50" s="81">
        <f>J51+J52</f>
        <v>0</v>
      </c>
      <c r="K50" s="680">
        <f t="shared" si="1"/>
        <v>500</v>
      </c>
      <c r="L50" s="680">
        <f t="shared" si="2"/>
        <v>500</v>
      </c>
    </row>
    <row r="51" spans="1:12" s="62" customFormat="1">
      <c r="A51" s="48" t="s">
        <v>324</v>
      </c>
      <c r="B51" s="70">
        <v>930</v>
      </c>
      <c r="C51" s="68" t="s">
        <v>152</v>
      </c>
      <c r="D51" s="68" t="s">
        <v>158</v>
      </c>
      <c r="E51" s="68" t="s">
        <v>1041</v>
      </c>
      <c r="F51" s="68" t="s">
        <v>311</v>
      </c>
      <c r="G51" s="81">
        <v>384.02499999999998</v>
      </c>
      <c r="H51" s="735">
        <f>G51</f>
        <v>384.02499999999998</v>
      </c>
      <c r="I51" s="81"/>
      <c r="J51" s="735">
        <f>I51</f>
        <v>0</v>
      </c>
      <c r="K51" s="680">
        <f t="shared" si="1"/>
        <v>384.02499999999998</v>
      </c>
      <c r="L51" s="680">
        <f t="shared" si="2"/>
        <v>384.02499999999998</v>
      </c>
    </row>
    <row r="52" spans="1:12" s="62" customFormat="1" ht="47.25">
      <c r="A52" s="164" t="s">
        <v>325</v>
      </c>
      <c r="B52" s="70">
        <v>930</v>
      </c>
      <c r="C52" s="68" t="s">
        <v>152</v>
      </c>
      <c r="D52" s="68" t="s">
        <v>158</v>
      </c>
      <c r="E52" s="68" t="s">
        <v>1041</v>
      </c>
      <c r="F52" s="68" t="s">
        <v>326</v>
      </c>
      <c r="G52" s="81">
        <v>115.97499999999999</v>
      </c>
      <c r="H52" s="735">
        <f>G52</f>
        <v>115.97499999999999</v>
      </c>
      <c r="I52" s="81"/>
      <c r="J52" s="735">
        <f>I52</f>
        <v>0</v>
      </c>
      <c r="K52" s="680">
        <f t="shared" si="1"/>
        <v>115.97499999999999</v>
      </c>
      <c r="L52" s="680">
        <f t="shared" si="2"/>
        <v>115.97499999999999</v>
      </c>
    </row>
    <row r="53" spans="1:12" s="62" customFormat="1" ht="31.5" hidden="1">
      <c r="A53" s="164" t="s">
        <v>1069</v>
      </c>
      <c r="B53" s="70">
        <v>930</v>
      </c>
      <c r="C53" s="68" t="s">
        <v>152</v>
      </c>
      <c r="D53" s="68" t="s">
        <v>158</v>
      </c>
      <c r="E53" s="68" t="s">
        <v>1070</v>
      </c>
      <c r="F53" s="68"/>
      <c r="G53" s="81">
        <f>G54+G55</f>
        <v>0</v>
      </c>
      <c r="H53" s="735">
        <f>H54+H55</f>
        <v>0</v>
      </c>
      <c r="I53" s="81">
        <f>I54+I55</f>
        <v>0</v>
      </c>
      <c r="J53" s="735">
        <f>J54+J55</f>
        <v>0</v>
      </c>
      <c r="K53" s="680">
        <f t="shared" si="1"/>
        <v>0</v>
      </c>
      <c r="L53" s="680">
        <f t="shared" si="2"/>
        <v>0</v>
      </c>
    </row>
    <row r="54" spans="1:12" s="62" customFormat="1" hidden="1">
      <c r="A54" s="48" t="s">
        <v>324</v>
      </c>
      <c r="B54" s="70">
        <v>930</v>
      </c>
      <c r="C54" s="68" t="s">
        <v>152</v>
      </c>
      <c r="D54" s="68" t="s">
        <v>158</v>
      </c>
      <c r="E54" s="68" t="s">
        <v>1070</v>
      </c>
      <c r="F54" s="68" t="s">
        <v>311</v>
      </c>
      <c r="G54" s="81"/>
      <c r="H54" s="735">
        <f>G54</f>
        <v>0</v>
      </c>
      <c r="I54" s="81"/>
      <c r="J54" s="735">
        <f>I54</f>
        <v>0</v>
      </c>
      <c r="K54" s="680">
        <f t="shared" si="1"/>
        <v>0</v>
      </c>
      <c r="L54" s="680">
        <f t="shared" si="2"/>
        <v>0</v>
      </c>
    </row>
    <row r="55" spans="1:12" s="62" customFormat="1" ht="47.25" hidden="1">
      <c r="A55" s="164" t="s">
        <v>325</v>
      </c>
      <c r="B55" s="70">
        <v>930</v>
      </c>
      <c r="C55" s="68" t="s">
        <v>152</v>
      </c>
      <c r="D55" s="68" t="s">
        <v>158</v>
      </c>
      <c r="E55" s="68" t="s">
        <v>1070</v>
      </c>
      <c r="F55" s="68" t="s">
        <v>326</v>
      </c>
      <c r="G55" s="81"/>
      <c r="H55" s="735">
        <f>G55</f>
        <v>0</v>
      </c>
      <c r="I55" s="81"/>
      <c r="J55" s="735">
        <f>I55</f>
        <v>0</v>
      </c>
      <c r="K55" s="680">
        <f t="shared" si="1"/>
        <v>0</v>
      </c>
      <c r="L55" s="680">
        <f t="shared" si="2"/>
        <v>0</v>
      </c>
    </row>
    <row r="56" spans="1:12" s="62" customFormat="1">
      <c r="A56" s="95" t="s">
        <v>135</v>
      </c>
      <c r="B56" s="71">
        <v>931</v>
      </c>
      <c r="C56" s="72"/>
      <c r="D56" s="72"/>
      <c r="E56" s="72"/>
      <c r="F56" s="72"/>
      <c r="G56" s="73">
        <f>G57+G75+G72</f>
        <v>53861.306069999999</v>
      </c>
      <c r="H56" s="73">
        <f>H57+H75</f>
        <v>100.2</v>
      </c>
      <c r="I56" s="73">
        <f>I57+I75+I72</f>
        <v>54987.510999999999</v>
      </c>
      <c r="J56" s="73">
        <f>J57+J75</f>
        <v>100.2</v>
      </c>
      <c r="K56" s="680">
        <f t="shared" si="1"/>
        <v>-1126.2049299999999</v>
      </c>
      <c r="L56" s="680">
        <f t="shared" si="2"/>
        <v>0</v>
      </c>
    </row>
    <row r="57" spans="1:12">
      <c r="A57" s="52" t="s">
        <v>166</v>
      </c>
      <c r="B57" s="74">
        <v>931</v>
      </c>
      <c r="C57" s="75" t="s">
        <v>152</v>
      </c>
      <c r="D57" s="75"/>
      <c r="E57" s="75"/>
      <c r="F57" s="75"/>
      <c r="G57" s="76">
        <f>G58</f>
        <v>10461.311</v>
      </c>
      <c r="H57" s="76">
        <f>H58</f>
        <v>0</v>
      </c>
      <c r="I57" s="76">
        <f>I58</f>
        <v>9600.5110000000004</v>
      </c>
      <c r="J57" s="76">
        <f>J58</f>
        <v>0</v>
      </c>
      <c r="K57" s="680">
        <f t="shared" si="1"/>
        <v>860.79999999999927</v>
      </c>
      <c r="L57" s="680">
        <f t="shared" si="2"/>
        <v>0</v>
      </c>
    </row>
    <row r="58" spans="1:12" s="63" customFormat="1" ht="47.25">
      <c r="A58" s="51" t="s">
        <v>109</v>
      </c>
      <c r="B58" s="77">
        <v>931</v>
      </c>
      <c r="C58" s="78" t="s">
        <v>152</v>
      </c>
      <c r="D58" s="78" t="s">
        <v>158</v>
      </c>
      <c r="E58" s="78"/>
      <c r="F58" s="78"/>
      <c r="G58" s="79">
        <f>G59+G68</f>
        <v>10461.311</v>
      </c>
      <c r="H58" s="79">
        <f>H59+H68</f>
        <v>0</v>
      </c>
      <c r="I58" s="79">
        <f>I59+I68</f>
        <v>9600.5110000000004</v>
      </c>
      <c r="J58" s="79">
        <f>J59+J68</f>
        <v>0</v>
      </c>
      <c r="K58" s="680">
        <f t="shared" si="1"/>
        <v>860.79999999999927</v>
      </c>
      <c r="L58" s="680">
        <f t="shared" si="2"/>
        <v>0</v>
      </c>
    </row>
    <row r="59" spans="1:12" s="63" customFormat="1" ht="57.75" customHeight="1">
      <c r="A59" s="507" t="s">
        <v>834</v>
      </c>
      <c r="B59" s="633">
        <v>931</v>
      </c>
      <c r="C59" s="515" t="s">
        <v>152</v>
      </c>
      <c r="D59" s="515" t="s">
        <v>158</v>
      </c>
      <c r="E59" s="515" t="s">
        <v>847</v>
      </c>
      <c r="F59" s="152"/>
      <c r="G59" s="154">
        <f t="shared" ref="G59:J60" si="3">G60</f>
        <v>9131.4549999999999</v>
      </c>
      <c r="H59" s="154">
        <f t="shared" si="3"/>
        <v>0</v>
      </c>
      <c r="I59" s="154">
        <f t="shared" si="3"/>
        <v>8270.6550000000007</v>
      </c>
      <c r="J59" s="154">
        <f t="shared" si="3"/>
        <v>0</v>
      </c>
      <c r="K59" s="680">
        <f t="shared" si="1"/>
        <v>860.79999999999927</v>
      </c>
      <c r="L59" s="680">
        <f t="shared" si="2"/>
        <v>0</v>
      </c>
    </row>
    <row r="60" spans="1:12" s="63" customFormat="1" ht="39" customHeight="1">
      <c r="A60" s="608" t="s">
        <v>846</v>
      </c>
      <c r="B60" s="70">
        <v>931</v>
      </c>
      <c r="C60" s="68" t="s">
        <v>152</v>
      </c>
      <c r="D60" s="68" t="s">
        <v>158</v>
      </c>
      <c r="E60" s="68" t="s">
        <v>857</v>
      </c>
      <c r="F60" s="78"/>
      <c r="G60" s="79">
        <f t="shared" si="3"/>
        <v>9131.4549999999999</v>
      </c>
      <c r="H60" s="79">
        <f t="shared" si="3"/>
        <v>0</v>
      </c>
      <c r="I60" s="79">
        <f t="shared" si="3"/>
        <v>8270.6550000000007</v>
      </c>
      <c r="J60" s="79">
        <f t="shared" si="3"/>
        <v>0</v>
      </c>
      <c r="K60" s="680">
        <f t="shared" si="1"/>
        <v>860.79999999999927</v>
      </c>
      <c r="L60" s="680">
        <f t="shared" si="2"/>
        <v>0</v>
      </c>
    </row>
    <row r="61" spans="1:12" s="63" customFormat="1" ht="47.25">
      <c r="A61" s="608" t="s">
        <v>835</v>
      </c>
      <c r="B61" s="70">
        <v>931</v>
      </c>
      <c r="C61" s="68" t="s">
        <v>152</v>
      </c>
      <c r="D61" s="68" t="s">
        <v>158</v>
      </c>
      <c r="E61" s="68" t="s">
        <v>840</v>
      </c>
      <c r="F61" s="78"/>
      <c r="G61" s="79">
        <f>G62+G65</f>
        <v>9131.4549999999999</v>
      </c>
      <c r="H61" s="79">
        <v>0</v>
      </c>
      <c r="I61" s="79">
        <f>I62+I65</f>
        <v>8270.6550000000007</v>
      </c>
      <c r="J61" s="79"/>
      <c r="K61" s="680">
        <f t="shared" si="1"/>
        <v>860.79999999999927</v>
      </c>
      <c r="L61" s="680">
        <f t="shared" si="2"/>
        <v>0</v>
      </c>
    </row>
    <row r="62" spans="1:12" s="63" customFormat="1">
      <c r="A62" s="51" t="s">
        <v>815</v>
      </c>
      <c r="B62" s="70">
        <v>931</v>
      </c>
      <c r="C62" s="68" t="s">
        <v>152</v>
      </c>
      <c r="D62" s="68" t="s">
        <v>158</v>
      </c>
      <c r="E62" s="68" t="s">
        <v>858</v>
      </c>
      <c r="F62" s="78"/>
      <c r="G62" s="79">
        <f>G63+G64</f>
        <v>4707.4549999999999</v>
      </c>
      <c r="H62" s="79">
        <v>0</v>
      </c>
      <c r="I62" s="79">
        <f>I63+I64</f>
        <v>4707.4549999999999</v>
      </c>
      <c r="J62" s="79">
        <v>0</v>
      </c>
      <c r="K62" s="680">
        <f t="shared" si="1"/>
        <v>0</v>
      </c>
      <c r="L62" s="680">
        <f t="shared" si="2"/>
        <v>0</v>
      </c>
    </row>
    <row r="63" spans="1:12" s="63" customFormat="1">
      <c r="A63" s="48" t="s">
        <v>324</v>
      </c>
      <c r="B63" s="70">
        <v>931</v>
      </c>
      <c r="C63" s="68" t="s">
        <v>152</v>
      </c>
      <c r="D63" s="68" t="s">
        <v>158</v>
      </c>
      <c r="E63" s="68" t="s">
        <v>858</v>
      </c>
      <c r="F63" s="78" t="s">
        <v>311</v>
      </c>
      <c r="G63" s="79">
        <v>3615.5569999999998</v>
      </c>
      <c r="H63" s="79">
        <v>0</v>
      </c>
      <c r="I63" s="79">
        <v>3615.5569999999998</v>
      </c>
      <c r="J63" s="79">
        <v>0</v>
      </c>
      <c r="K63" s="680">
        <f t="shared" si="1"/>
        <v>0</v>
      </c>
      <c r="L63" s="680">
        <f t="shared" si="2"/>
        <v>0</v>
      </c>
    </row>
    <row r="64" spans="1:12" s="63" customFormat="1" ht="47.25">
      <c r="A64" s="164" t="s">
        <v>325</v>
      </c>
      <c r="B64" s="70">
        <v>931</v>
      </c>
      <c r="C64" s="68" t="s">
        <v>152</v>
      </c>
      <c r="D64" s="68" t="s">
        <v>158</v>
      </c>
      <c r="E64" s="68" t="s">
        <v>858</v>
      </c>
      <c r="F64" s="78" t="s">
        <v>326</v>
      </c>
      <c r="G64" s="79">
        <v>1091.8979999999999</v>
      </c>
      <c r="H64" s="79">
        <v>0</v>
      </c>
      <c r="I64" s="79">
        <v>1091.8979999999999</v>
      </c>
      <c r="J64" s="79">
        <v>0</v>
      </c>
      <c r="K64" s="680">
        <f t="shared" si="1"/>
        <v>0</v>
      </c>
      <c r="L64" s="680">
        <f t="shared" si="2"/>
        <v>0</v>
      </c>
    </row>
    <row r="65" spans="1:12" s="63" customFormat="1" ht="31.5">
      <c r="A65" s="49" t="s">
        <v>136</v>
      </c>
      <c r="B65" s="70">
        <v>931</v>
      </c>
      <c r="C65" s="68" t="s">
        <v>152</v>
      </c>
      <c r="D65" s="68" t="s">
        <v>158</v>
      </c>
      <c r="E65" s="68" t="s">
        <v>844</v>
      </c>
      <c r="F65" s="78"/>
      <c r="G65" s="79">
        <f>G66+G67</f>
        <v>4424</v>
      </c>
      <c r="H65" s="79">
        <v>0</v>
      </c>
      <c r="I65" s="79">
        <f>I66+I67</f>
        <v>3563.2000000000003</v>
      </c>
      <c r="J65" s="79">
        <v>0</v>
      </c>
      <c r="K65" s="680">
        <f t="shared" si="1"/>
        <v>860.79999999999973</v>
      </c>
      <c r="L65" s="680">
        <f t="shared" si="2"/>
        <v>0</v>
      </c>
    </row>
    <row r="66" spans="1:12" s="63" customFormat="1">
      <c r="A66" s="48" t="s">
        <v>324</v>
      </c>
      <c r="B66" s="70">
        <v>931</v>
      </c>
      <c r="C66" s="68" t="s">
        <v>152</v>
      </c>
      <c r="D66" s="68" t="s">
        <v>158</v>
      </c>
      <c r="E66" s="68" t="s">
        <v>844</v>
      </c>
      <c r="F66" s="78" t="s">
        <v>311</v>
      </c>
      <c r="G66" s="79">
        <v>3397.8490000000002</v>
      </c>
      <c r="H66" s="79">
        <v>0</v>
      </c>
      <c r="I66" s="79">
        <v>2736.7130000000002</v>
      </c>
      <c r="J66" s="79">
        <v>0</v>
      </c>
      <c r="K66" s="680">
        <f t="shared" si="1"/>
        <v>661.13599999999997</v>
      </c>
      <c r="L66" s="680">
        <f t="shared" si="2"/>
        <v>0</v>
      </c>
    </row>
    <row r="67" spans="1:12" s="63" customFormat="1" ht="47.25">
      <c r="A67" s="164" t="s">
        <v>325</v>
      </c>
      <c r="B67" s="70">
        <v>931</v>
      </c>
      <c r="C67" s="68" t="s">
        <v>152</v>
      </c>
      <c r="D67" s="68" t="s">
        <v>158</v>
      </c>
      <c r="E67" s="68" t="s">
        <v>844</v>
      </c>
      <c r="F67" s="78" t="s">
        <v>326</v>
      </c>
      <c r="G67" s="79">
        <v>1026.1510000000001</v>
      </c>
      <c r="H67" s="79">
        <v>0</v>
      </c>
      <c r="I67" s="79">
        <v>826.48699999999997</v>
      </c>
      <c r="J67" s="79">
        <v>0</v>
      </c>
      <c r="K67" s="680">
        <f t="shared" si="1"/>
        <v>199.6640000000001</v>
      </c>
      <c r="L67" s="680">
        <f t="shared" si="2"/>
        <v>0</v>
      </c>
    </row>
    <row r="68" spans="1:12" s="63" customFormat="1" ht="31.5">
      <c r="A68" s="142" t="s">
        <v>947</v>
      </c>
      <c r="B68" s="143">
        <v>931</v>
      </c>
      <c r="C68" s="144" t="s">
        <v>152</v>
      </c>
      <c r="D68" s="144" t="s">
        <v>158</v>
      </c>
      <c r="E68" s="144" t="s">
        <v>611</v>
      </c>
      <c r="F68" s="145"/>
      <c r="G68" s="146">
        <f>G69</f>
        <v>1329.856</v>
      </c>
      <c r="H68" s="146">
        <f>H69</f>
        <v>0</v>
      </c>
      <c r="I68" s="146">
        <f>I69</f>
        <v>1329.856</v>
      </c>
      <c r="J68" s="146">
        <f>J69</f>
        <v>0</v>
      </c>
      <c r="K68" s="680">
        <f t="shared" si="1"/>
        <v>0</v>
      </c>
      <c r="L68" s="680">
        <f t="shared" si="2"/>
        <v>0</v>
      </c>
    </row>
    <row r="69" spans="1:12" s="63" customFormat="1" ht="32.25" customHeight="1">
      <c r="A69" s="186" t="s">
        <v>638</v>
      </c>
      <c r="B69" s="276">
        <v>931</v>
      </c>
      <c r="C69" s="172" t="s">
        <v>152</v>
      </c>
      <c r="D69" s="172" t="s">
        <v>158</v>
      </c>
      <c r="E69" s="172" t="s">
        <v>614</v>
      </c>
      <c r="F69" s="524"/>
      <c r="G69" s="169">
        <f>G70+G71</f>
        <v>1329.856</v>
      </c>
      <c r="H69" s="169">
        <f>H70+H71</f>
        <v>0</v>
      </c>
      <c r="I69" s="169">
        <f>I70+I71</f>
        <v>1329.856</v>
      </c>
      <c r="J69" s="169">
        <f>J70+J71</f>
        <v>0</v>
      </c>
      <c r="K69" s="680">
        <f t="shared" si="1"/>
        <v>0</v>
      </c>
      <c r="L69" s="680">
        <f t="shared" si="2"/>
        <v>0</v>
      </c>
    </row>
    <row r="70" spans="1:12" ht="31.5">
      <c r="A70" s="97" t="s">
        <v>317</v>
      </c>
      <c r="B70" s="70">
        <v>931</v>
      </c>
      <c r="C70" s="68" t="s">
        <v>152</v>
      </c>
      <c r="D70" s="68" t="s">
        <v>158</v>
      </c>
      <c r="E70" s="120" t="s">
        <v>615</v>
      </c>
      <c r="F70" s="82">
        <v>242</v>
      </c>
      <c r="G70" s="81">
        <v>805.36500000000001</v>
      </c>
      <c r="H70" s="81">
        <v>0</v>
      </c>
      <c r="I70" s="81">
        <v>805.36500000000001</v>
      </c>
      <c r="J70" s="81">
        <v>0</v>
      </c>
      <c r="K70" s="680">
        <f t="shared" si="1"/>
        <v>0</v>
      </c>
      <c r="L70" s="680">
        <f t="shared" si="2"/>
        <v>0</v>
      </c>
    </row>
    <row r="71" spans="1:12" ht="31.5">
      <c r="A71" s="123" t="s">
        <v>209</v>
      </c>
      <c r="B71" s="70">
        <v>931</v>
      </c>
      <c r="C71" s="68" t="s">
        <v>152</v>
      </c>
      <c r="D71" s="68" t="s">
        <v>158</v>
      </c>
      <c r="E71" s="120" t="s">
        <v>615</v>
      </c>
      <c r="F71" s="82">
        <v>244</v>
      </c>
      <c r="G71" s="81">
        <v>524.49099999999999</v>
      </c>
      <c r="H71" s="81">
        <v>0</v>
      </c>
      <c r="I71" s="81">
        <v>524.49099999999999</v>
      </c>
      <c r="J71" s="81">
        <v>0</v>
      </c>
      <c r="K71" s="680">
        <f t="shared" si="1"/>
        <v>0</v>
      </c>
      <c r="L71" s="680">
        <f t="shared" si="2"/>
        <v>0</v>
      </c>
    </row>
    <row r="72" spans="1:12">
      <c r="A72" s="269" t="s">
        <v>707</v>
      </c>
      <c r="B72" s="270">
        <v>931</v>
      </c>
      <c r="C72" s="271" t="s">
        <v>178</v>
      </c>
      <c r="D72" s="271"/>
      <c r="E72" s="271"/>
      <c r="F72" s="68"/>
      <c r="G72" s="81">
        <f>G73</f>
        <v>12.99507</v>
      </c>
      <c r="H72" s="81">
        <v>0</v>
      </c>
      <c r="I72" s="81">
        <f>I73</f>
        <v>0</v>
      </c>
      <c r="J72" s="81"/>
      <c r="K72" s="680">
        <f t="shared" si="1"/>
        <v>12.99507</v>
      </c>
      <c r="L72" s="680">
        <f t="shared" si="2"/>
        <v>0</v>
      </c>
    </row>
    <row r="73" spans="1:12" ht="31.5">
      <c r="A73" s="138" t="s">
        <v>722</v>
      </c>
      <c r="B73" s="124">
        <v>931</v>
      </c>
      <c r="C73" s="120" t="s">
        <v>178</v>
      </c>
      <c r="D73" s="120" t="s">
        <v>152</v>
      </c>
      <c r="E73" s="271"/>
      <c r="F73" s="68"/>
      <c r="G73" s="81">
        <f>G74</f>
        <v>12.99507</v>
      </c>
      <c r="H73" s="81">
        <v>0</v>
      </c>
      <c r="I73" s="81">
        <f>I74</f>
        <v>0</v>
      </c>
      <c r="J73" s="81"/>
      <c r="K73" s="680">
        <f t="shared" si="1"/>
        <v>12.99507</v>
      </c>
      <c r="L73" s="680">
        <f t="shared" si="2"/>
        <v>0</v>
      </c>
    </row>
    <row r="74" spans="1:12">
      <c r="A74" s="138" t="s">
        <v>708</v>
      </c>
      <c r="B74" s="120" t="s">
        <v>137</v>
      </c>
      <c r="C74" s="120" t="s">
        <v>178</v>
      </c>
      <c r="D74" s="120" t="s">
        <v>152</v>
      </c>
      <c r="E74" s="120" t="s">
        <v>1</v>
      </c>
      <c r="F74" s="120" t="s">
        <v>709</v>
      </c>
      <c r="G74" s="81">
        <v>12.99507</v>
      </c>
      <c r="H74" s="81">
        <v>0</v>
      </c>
      <c r="I74" s="81"/>
      <c r="J74" s="81"/>
      <c r="K74" s="680">
        <f t="shared" si="1"/>
        <v>12.99507</v>
      </c>
      <c r="L74" s="680">
        <f t="shared" si="2"/>
        <v>0</v>
      </c>
    </row>
    <row r="75" spans="1:12" s="63" customFormat="1" ht="47.25">
      <c r="A75" s="52" t="s">
        <v>108</v>
      </c>
      <c r="B75" s="74">
        <v>931</v>
      </c>
      <c r="C75" s="75" t="s">
        <v>165</v>
      </c>
      <c r="D75" s="75"/>
      <c r="E75" s="75"/>
      <c r="F75" s="75"/>
      <c r="G75" s="76">
        <f>G76+G81</f>
        <v>43387</v>
      </c>
      <c r="H75" s="76">
        <f>H76+H81</f>
        <v>100.2</v>
      </c>
      <c r="I75" s="76">
        <f>I76+I81</f>
        <v>45387</v>
      </c>
      <c r="J75" s="76">
        <f>J76+J81</f>
        <v>100.2</v>
      </c>
      <c r="K75" s="680">
        <f t="shared" si="1"/>
        <v>-2000</v>
      </c>
      <c r="L75" s="680">
        <f t="shared" si="2"/>
        <v>0</v>
      </c>
    </row>
    <row r="76" spans="1:12" s="63" customFormat="1" ht="31.5">
      <c r="A76" s="51" t="s">
        <v>407</v>
      </c>
      <c r="B76" s="77">
        <v>931</v>
      </c>
      <c r="C76" s="78" t="s">
        <v>165</v>
      </c>
      <c r="D76" s="78" t="s">
        <v>152</v>
      </c>
      <c r="E76" s="78"/>
      <c r="F76" s="78"/>
      <c r="G76" s="79">
        <f>G77</f>
        <v>100.2</v>
      </c>
      <c r="H76" s="79">
        <f>H77</f>
        <v>100.2</v>
      </c>
      <c r="I76" s="79">
        <f>I77</f>
        <v>100.2</v>
      </c>
      <c r="J76" s="79">
        <f>J77</f>
        <v>100.2</v>
      </c>
      <c r="K76" s="680">
        <f t="shared" si="1"/>
        <v>0</v>
      </c>
      <c r="L76" s="680">
        <f t="shared" si="2"/>
        <v>0</v>
      </c>
    </row>
    <row r="77" spans="1:12" s="63" customFormat="1" ht="31.5">
      <c r="A77" s="142" t="s">
        <v>947</v>
      </c>
      <c r="B77" s="151">
        <v>931</v>
      </c>
      <c r="C77" s="152" t="s">
        <v>165</v>
      </c>
      <c r="D77" s="152" t="s">
        <v>152</v>
      </c>
      <c r="E77" s="153" t="s">
        <v>612</v>
      </c>
      <c r="F77" s="152"/>
      <c r="G77" s="154">
        <f>G79</f>
        <v>100.2</v>
      </c>
      <c r="H77" s="154">
        <f>H79</f>
        <v>100.2</v>
      </c>
      <c r="I77" s="154">
        <f>I79</f>
        <v>100.2</v>
      </c>
      <c r="J77" s="154">
        <f>J79</f>
        <v>100.2</v>
      </c>
      <c r="K77" s="680">
        <f t="shared" si="1"/>
        <v>0</v>
      </c>
      <c r="L77" s="680">
        <f t="shared" si="2"/>
        <v>0</v>
      </c>
    </row>
    <row r="78" spans="1:12" s="63" customFormat="1" ht="31.5">
      <c r="A78" s="186" t="s">
        <v>639</v>
      </c>
      <c r="B78" s="523">
        <v>931</v>
      </c>
      <c r="C78" s="279" t="s">
        <v>165</v>
      </c>
      <c r="D78" s="279" t="s">
        <v>152</v>
      </c>
      <c r="E78" s="172" t="s">
        <v>618</v>
      </c>
      <c r="F78" s="279"/>
      <c r="G78" s="187">
        <f t="shared" ref="G78:J79" si="4">G79</f>
        <v>100.2</v>
      </c>
      <c r="H78" s="187">
        <f t="shared" si="4"/>
        <v>100.2</v>
      </c>
      <c r="I78" s="187">
        <f t="shared" si="4"/>
        <v>100.2</v>
      </c>
      <c r="J78" s="187">
        <f t="shared" si="4"/>
        <v>100.2</v>
      </c>
      <c r="K78" s="680">
        <f t="shared" ref="K78:K141" si="5">G78-I78</f>
        <v>0</v>
      </c>
      <c r="L78" s="680">
        <f t="shared" ref="L78:L141" si="6">H78-J78</f>
        <v>0</v>
      </c>
    </row>
    <row r="79" spans="1:12" s="63" customFormat="1" ht="31.5">
      <c r="A79" s="186" t="s">
        <v>309</v>
      </c>
      <c r="B79" s="276">
        <v>931</v>
      </c>
      <c r="C79" s="172" t="s">
        <v>165</v>
      </c>
      <c r="D79" s="172" t="s">
        <v>152</v>
      </c>
      <c r="E79" s="172" t="s">
        <v>617</v>
      </c>
      <c r="F79" s="168"/>
      <c r="G79" s="169">
        <f t="shared" si="4"/>
        <v>100.2</v>
      </c>
      <c r="H79" s="169">
        <f t="shared" si="4"/>
        <v>100.2</v>
      </c>
      <c r="I79" s="169">
        <f t="shared" si="4"/>
        <v>100.2</v>
      </c>
      <c r="J79" s="169">
        <f t="shared" si="4"/>
        <v>100.2</v>
      </c>
      <c r="K79" s="680">
        <f t="shared" si="5"/>
        <v>0</v>
      </c>
      <c r="L79" s="680">
        <f t="shared" si="6"/>
        <v>0</v>
      </c>
    </row>
    <row r="80" spans="1:12" ht="31.5">
      <c r="A80" s="203" t="s">
        <v>406</v>
      </c>
      <c r="B80" s="70">
        <v>931</v>
      </c>
      <c r="C80" s="68" t="s">
        <v>165</v>
      </c>
      <c r="D80" s="68" t="s">
        <v>152</v>
      </c>
      <c r="E80" s="172" t="s">
        <v>617</v>
      </c>
      <c r="F80" s="68" t="s">
        <v>26</v>
      </c>
      <c r="G80" s="81">
        <v>100.2</v>
      </c>
      <c r="H80" s="81">
        <f>G80</f>
        <v>100.2</v>
      </c>
      <c r="I80" s="81">
        <v>100.2</v>
      </c>
      <c r="J80" s="81">
        <f>I80</f>
        <v>100.2</v>
      </c>
      <c r="K80" s="680">
        <f t="shared" si="5"/>
        <v>0</v>
      </c>
      <c r="L80" s="680">
        <f t="shared" si="6"/>
        <v>0</v>
      </c>
    </row>
    <row r="81" spans="1:12" s="63" customFormat="1">
      <c r="A81" s="51" t="s">
        <v>46</v>
      </c>
      <c r="B81" s="77">
        <v>931</v>
      </c>
      <c r="C81" s="78" t="s">
        <v>165</v>
      </c>
      <c r="D81" s="78" t="s">
        <v>155</v>
      </c>
      <c r="E81" s="78"/>
      <c r="F81" s="78"/>
      <c r="G81" s="79">
        <f>G82</f>
        <v>43286.8</v>
      </c>
      <c r="H81" s="79">
        <f>H82</f>
        <v>0</v>
      </c>
      <c r="I81" s="79">
        <f>I82</f>
        <v>45286.8</v>
      </c>
      <c r="J81" s="79">
        <f>J82</f>
        <v>0</v>
      </c>
      <c r="K81" s="680">
        <f t="shared" si="5"/>
        <v>-2000</v>
      </c>
      <c r="L81" s="680">
        <f t="shared" si="6"/>
        <v>0</v>
      </c>
    </row>
    <row r="82" spans="1:12" s="62" customFormat="1" ht="31.5">
      <c r="A82" s="142" t="s">
        <v>947</v>
      </c>
      <c r="B82" s="151">
        <v>931</v>
      </c>
      <c r="C82" s="152" t="s">
        <v>165</v>
      </c>
      <c r="D82" s="152" t="s">
        <v>155</v>
      </c>
      <c r="E82" s="153" t="s">
        <v>612</v>
      </c>
      <c r="F82" s="144"/>
      <c r="G82" s="146">
        <f t="shared" ref="G82:J84" si="7">G83</f>
        <v>43286.8</v>
      </c>
      <c r="H82" s="146">
        <f t="shared" si="7"/>
        <v>0</v>
      </c>
      <c r="I82" s="146">
        <f t="shared" si="7"/>
        <v>45286.8</v>
      </c>
      <c r="J82" s="146">
        <f t="shared" si="7"/>
        <v>0</v>
      </c>
      <c r="K82" s="680">
        <f t="shared" si="5"/>
        <v>-2000</v>
      </c>
      <c r="L82" s="680">
        <f t="shared" si="6"/>
        <v>0</v>
      </c>
    </row>
    <row r="83" spans="1:12" s="62" customFormat="1" ht="31.5">
      <c r="A83" s="186" t="s">
        <v>639</v>
      </c>
      <c r="B83" s="523">
        <v>931</v>
      </c>
      <c r="C83" s="279" t="s">
        <v>165</v>
      </c>
      <c r="D83" s="279" t="s">
        <v>155</v>
      </c>
      <c r="E83" s="172" t="s">
        <v>616</v>
      </c>
      <c r="F83" s="168"/>
      <c r="G83" s="169">
        <f t="shared" si="7"/>
        <v>43286.8</v>
      </c>
      <c r="H83" s="169">
        <f t="shared" si="7"/>
        <v>0</v>
      </c>
      <c r="I83" s="169">
        <f t="shared" si="7"/>
        <v>45286.8</v>
      </c>
      <c r="J83" s="169">
        <f t="shared" si="7"/>
        <v>0</v>
      </c>
      <c r="K83" s="680">
        <f t="shared" si="5"/>
        <v>-2000</v>
      </c>
      <c r="L83" s="680">
        <f t="shared" si="6"/>
        <v>0</v>
      </c>
    </row>
    <row r="84" spans="1:12" s="62" customFormat="1" ht="47.25" customHeight="1">
      <c r="A84" s="186" t="s">
        <v>613</v>
      </c>
      <c r="B84" s="276">
        <v>931</v>
      </c>
      <c r="C84" s="172" t="s">
        <v>165</v>
      </c>
      <c r="D84" s="172" t="s">
        <v>155</v>
      </c>
      <c r="E84" s="172" t="s">
        <v>616</v>
      </c>
      <c r="F84" s="168"/>
      <c r="G84" s="169">
        <f t="shared" si="7"/>
        <v>43286.8</v>
      </c>
      <c r="H84" s="169">
        <f t="shared" si="7"/>
        <v>0</v>
      </c>
      <c r="I84" s="169">
        <f t="shared" si="7"/>
        <v>45286.8</v>
      </c>
      <c r="J84" s="169">
        <f t="shared" si="7"/>
        <v>0</v>
      </c>
      <c r="K84" s="680">
        <f t="shared" si="5"/>
        <v>-2000</v>
      </c>
      <c r="L84" s="680">
        <f t="shared" si="6"/>
        <v>0</v>
      </c>
    </row>
    <row r="85" spans="1:12" ht="27.75" customHeight="1">
      <c r="A85" s="48" t="s">
        <v>310</v>
      </c>
      <c r="B85" s="70">
        <v>931</v>
      </c>
      <c r="C85" s="68" t="s">
        <v>165</v>
      </c>
      <c r="D85" s="68" t="s">
        <v>155</v>
      </c>
      <c r="E85" s="172" t="s">
        <v>616</v>
      </c>
      <c r="F85" s="68" t="s">
        <v>321</v>
      </c>
      <c r="G85" s="81">
        <v>43286.8</v>
      </c>
      <c r="H85" s="81">
        <v>0</v>
      </c>
      <c r="I85" s="81">
        <v>45286.8</v>
      </c>
      <c r="J85" s="81">
        <v>0</v>
      </c>
      <c r="K85" s="680">
        <f t="shared" si="5"/>
        <v>-2000</v>
      </c>
      <c r="L85" s="680">
        <f t="shared" si="6"/>
        <v>0</v>
      </c>
    </row>
    <row r="86" spans="1:12" s="62" customFormat="1">
      <c r="A86" s="95" t="s">
        <v>138</v>
      </c>
      <c r="B86" s="71">
        <v>934</v>
      </c>
      <c r="C86" s="72"/>
      <c r="D86" s="72"/>
      <c r="E86" s="72"/>
      <c r="F86" s="72"/>
      <c r="G86" s="73">
        <f>G87+G170+G178+G233+G252+G287+G330+G361+G369+G227+G283</f>
        <v>1028444.73156</v>
      </c>
      <c r="H86" s="73">
        <f>H87+H170+H178+H233+H252+H287+H330+H361+H369+H227</f>
        <v>880874.03</v>
      </c>
      <c r="I86" s="73">
        <f>I87+I170+I178+I233+I252+I287+I330+I361+I369+I227</f>
        <v>228179.93987</v>
      </c>
      <c r="J86" s="73">
        <f>J87+J170+J178+J233+J252+J287+J330+J361+J369+J227</f>
        <v>78580.455000000002</v>
      </c>
      <c r="K86" s="680">
        <f>G86-I86</f>
        <v>800264.79168999998</v>
      </c>
      <c r="L86" s="680">
        <f t="shared" si="6"/>
        <v>802293.57500000007</v>
      </c>
    </row>
    <row r="87" spans="1:12" s="64" customFormat="1" ht="20.25" customHeight="1">
      <c r="A87" s="52" t="s">
        <v>166</v>
      </c>
      <c r="B87" s="74">
        <v>934</v>
      </c>
      <c r="C87" s="75" t="s">
        <v>152</v>
      </c>
      <c r="D87" s="75"/>
      <c r="E87" s="75"/>
      <c r="F87" s="75"/>
      <c r="G87" s="76">
        <f>G88+G96+G131+G134+G122+G128</f>
        <v>84782.843999999997</v>
      </c>
      <c r="H87" s="76">
        <f>H88+H96+H131+H134+H122</f>
        <v>25312.83</v>
      </c>
      <c r="I87" s="76">
        <f>I88+I96+I131+I134+I122+I128</f>
        <v>61911.813999999998</v>
      </c>
      <c r="J87" s="76">
        <f>J88+J96+J131+J134+J122</f>
        <v>1782.8</v>
      </c>
      <c r="K87" s="680">
        <f t="shared" si="5"/>
        <v>22871.03</v>
      </c>
      <c r="L87" s="680">
        <f t="shared" si="6"/>
        <v>23530.030000000002</v>
      </c>
    </row>
    <row r="88" spans="1:12" s="63" customFormat="1" ht="31.5">
      <c r="A88" s="51" t="s">
        <v>296</v>
      </c>
      <c r="B88" s="77">
        <v>934</v>
      </c>
      <c r="C88" s="78" t="s">
        <v>152</v>
      </c>
      <c r="D88" s="78" t="s">
        <v>153</v>
      </c>
      <c r="E88" s="78"/>
      <c r="F88" s="78"/>
      <c r="G88" s="79">
        <f>G89</f>
        <v>3465.9879999999998</v>
      </c>
      <c r="H88" s="79">
        <f t="shared" ref="H88:J91" si="8">H89</f>
        <v>0</v>
      </c>
      <c r="I88" s="79">
        <f>I89</f>
        <v>2733.8879999999999</v>
      </c>
      <c r="J88" s="79">
        <f t="shared" si="8"/>
        <v>0</v>
      </c>
      <c r="K88" s="680">
        <f t="shared" si="5"/>
        <v>732.09999999999991</v>
      </c>
      <c r="L88" s="680">
        <f t="shared" si="6"/>
        <v>0</v>
      </c>
    </row>
    <row r="89" spans="1:12" s="63" customFormat="1" ht="47.25">
      <c r="A89" s="507" t="s">
        <v>834</v>
      </c>
      <c r="B89" s="143">
        <v>934</v>
      </c>
      <c r="C89" s="144" t="s">
        <v>152</v>
      </c>
      <c r="D89" s="144" t="s">
        <v>153</v>
      </c>
      <c r="E89" s="515" t="s">
        <v>847</v>
      </c>
      <c r="F89" s="152"/>
      <c r="G89" s="154">
        <f t="shared" ref="G89:I91" si="9">G90</f>
        <v>3465.9879999999998</v>
      </c>
      <c r="H89" s="154">
        <f t="shared" si="8"/>
        <v>0</v>
      </c>
      <c r="I89" s="154">
        <f t="shared" si="9"/>
        <v>2733.8879999999999</v>
      </c>
      <c r="J89" s="154">
        <f t="shared" si="8"/>
        <v>0</v>
      </c>
      <c r="K89" s="680">
        <f t="shared" si="5"/>
        <v>732.09999999999991</v>
      </c>
      <c r="L89" s="680">
        <f t="shared" si="6"/>
        <v>0</v>
      </c>
    </row>
    <row r="90" spans="1:12" s="63" customFormat="1" ht="31.5">
      <c r="A90" s="608" t="s">
        <v>846</v>
      </c>
      <c r="B90" s="69">
        <v>934</v>
      </c>
      <c r="C90" s="67" t="s">
        <v>152</v>
      </c>
      <c r="D90" s="67" t="s">
        <v>153</v>
      </c>
      <c r="E90" s="68" t="s">
        <v>857</v>
      </c>
      <c r="F90" s="78"/>
      <c r="G90" s="79">
        <f t="shared" si="9"/>
        <v>3465.9879999999998</v>
      </c>
      <c r="H90" s="79">
        <f t="shared" si="8"/>
        <v>0</v>
      </c>
      <c r="I90" s="79">
        <f t="shared" si="9"/>
        <v>2733.8879999999999</v>
      </c>
      <c r="J90" s="79">
        <f t="shared" si="8"/>
        <v>0</v>
      </c>
      <c r="K90" s="680">
        <f t="shared" si="5"/>
        <v>732.09999999999991</v>
      </c>
      <c r="L90" s="680">
        <f t="shared" si="6"/>
        <v>0</v>
      </c>
    </row>
    <row r="91" spans="1:12" s="63" customFormat="1" ht="47.25">
      <c r="A91" s="608" t="s">
        <v>835</v>
      </c>
      <c r="B91" s="69">
        <v>934</v>
      </c>
      <c r="C91" s="67" t="s">
        <v>152</v>
      </c>
      <c r="D91" s="67" t="s">
        <v>153</v>
      </c>
      <c r="E91" s="68" t="s">
        <v>840</v>
      </c>
      <c r="F91" s="78"/>
      <c r="G91" s="79">
        <f t="shared" si="9"/>
        <v>3465.9879999999998</v>
      </c>
      <c r="H91" s="79">
        <f t="shared" si="8"/>
        <v>0</v>
      </c>
      <c r="I91" s="79">
        <f t="shared" si="9"/>
        <v>2733.8879999999999</v>
      </c>
      <c r="J91" s="79">
        <f t="shared" si="8"/>
        <v>0</v>
      </c>
      <c r="K91" s="680">
        <f t="shared" si="5"/>
        <v>732.09999999999991</v>
      </c>
      <c r="L91" s="680">
        <f t="shared" si="6"/>
        <v>0</v>
      </c>
    </row>
    <row r="92" spans="1:12" s="63" customFormat="1">
      <c r="A92" s="608" t="s">
        <v>815</v>
      </c>
      <c r="B92" s="70">
        <v>934</v>
      </c>
      <c r="C92" s="68" t="s">
        <v>152</v>
      </c>
      <c r="D92" s="68" t="s">
        <v>153</v>
      </c>
      <c r="E92" s="68" t="s">
        <v>841</v>
      </c>
      <c r="F92" s="78"/>
      <c r="G92" s="79">
        <f>G93+G94+G95</f>
        <v>3465.9879999999998</v>
      </c>
      <c r="H92" s="79">
        <f>H93+H94+H95</f>
        <v>0</v>
      </c>
      <c r="I92" s="79">
        <f>I93+I94+I95</f>
        <v>2733.8879999999999</v>
      </c>
      <c r="J92" s="79">
        <f>J93+J94+J95</f>
        <v>0</v>
      </c>
      <c r="K92" s="680">
        <f t="shared" si="5"/>
        <v>732.09999999999991</v>
      </c>
      <c r="L92" s="680">
        <f t="shared" si="6"/>
        <v>0</v>
      </c>
    </row>
    <row r="93" spans="1:12">
      <c r="A93" s="48" t="s">
        <v>324</v>
      </c>
      <c r="B93" s="70">
        <v>934</v>
      </c>
      <c r="C93" s="68" t="s">
        <v>152</v>
      </c>
      <c r="D93" s="68" t="s">
        <v>153</v>
      </c>
      <c r="E93" s="68" t="s">
        <v>841</v>
      </c>
      <c r="F93" s="68" t="s">
        <v>311</v>
      </c>
      <c r="G93" s="81">
        <f>2061.358+562.289</f>
        <v>2623.6469999999999</v>
      </c>
      <c r="H93" s="81">
        <v>0</v>
      </c>
      <c r="I93" s="81">
        <v>2061.3580000000002</v>
      </c>
      <c r="J93" s="81">
        <v>0</v>
      </c>
      <c r="K93" s="680">
        <f t="shared" si="5"/>
        <v>562.28899999999976</v>
      </c>
      <c r="L93" s="680">
        <f t="shared" si="6"/>
        <v>0</v>
      </c>
    </row>
    <row r="94" spans="1:12" ht="31.5">
      <c r="A94" s="48" t="s">
        <v>6</v>
      </c>
      <c r="B94" s="70">
        <v>934</v>
      </c>
      <c r="C94" s="68" t="s">
        <v>152</v>
      </c>
      <c r="D94" s="68" t="s">
        <v>153</v>
      </c>
      <c r="E94" s="68" t="s">
        <v>841</v>
      </c>
      <c r="F94" s="68" t="s">
        <v>316</v>
      </c>
      <c r="G94" s="81">
        <v>50</v>
      </c>
      <c r="H94" s="81">
        <v>0</v>
      </c>
      <c r="I94" s="81">
        <v>50</v>
      </c>
      <c r="J94" s="81">
        <v>0</v>
      </c>
      <c r="K94" s="680">
        <f t="shared" si="5"/>
        <v>0</v>
      </c>
      <c r="L94" s="680">
        <f t="shared" si="6"/>
        <v>0</v>
      </c>
    </row>
    <row r="95" spans="1:12" ht="47.25">
      <c r="A95" s="164" t="s">
        <v>325</v>
      </c>
      <c r="B95" s="70">
        <v>934</v>
      </c>
      <c r="C95" s="68" t="s">
        <v>152</v>
      </c>
      <c r="D95" s="68" t="s">
        <v>153</v>
      </c>
      <c r="E95" s="68" t="s">
        <v>841</v>
      </c>
      <c r="F95" s="68" t="s">
        <v>326</v>
      </c>
      <c r="G95" s="81">
        <f>622.53+169.811</f>
        <v>792.34100000000001</v>
      </c>
      <c r="H95" s="81">
        <v>0</v>
      </c>
      <c r="I95" s="81">
        <v>622.53</v>
      </c>
      <c r="J95" s="81">
        <v>0</v>
      </c>
      <c r="K95" s="680">
        <f t="shared" si="5"/>
        <v>169.81100000000004</v>
      </c>
      <c r="L95" s="680">
        <f t="shared" si="6"/>
        <v>0</v>
      </c>
    </row>
    <row r="96" spans="1:12" s="63" customFormat="1" ht="47.25">
      <c r="A96" s="51" t="s">
        <v>208</v>
      </c>
      <c r="B96" s="77">
        <v>934</v>
      </c>
      <c r="C96" s="78" t="s">
        <v>152</v>
      </c>
      <c r="D96" s="78" t="s">
        <v>161</v>
      </c>
      <c r="E96" s="78"/>
      <c r="F96" s="78"/>
      <c r="G96" s="79">
        <f>G97+G119+G101</f>
        <v>22528.056</v>
      </c>
      <c r="H96" s="79">
        <f>H97+H119+H101</f>
        <v>7458.7300000000005</v>
      </c>
      <c r="I96" s="79">
        <f>I97+I119+I101</f>
        <v>16601.425999999999</v>
      </c>
      <c r="J96" s="79">
        <f>J97+J119+J101</f>
        <v>0</v>
      </c>
      <c r="K96" s="680">
        <f t="shared" si="5"/>
        <v>5926.630000000001</v>
      </c>
      <c r="L96" s="680">
        <f t="shared" si="6"/>
        <v>7458.7300000000005</v>
      </c>
    </row>
    <row r="97" spans="1:12" s="63" customFormat="1" ht="47.25">
      <c r="A97" s="142" t="s">
        <v>1104</v>
      </c>
      <c r="B97" s="143">
        <v>934</v>
      </c>
      <c r="C97" s="144" t="s">
        <v>152</v>
      </c>
      <c r="D97" s="144" t="s">
        <v>161</v>
      </c>
      <c r="E97" s="144" t="s">
        <v>398</v>
      </c>
      <c r="F97" s="144"/>
      <c r="G97" s="146">
        <f>G98</f>
        <v>195.48699999999999</v>
      </c>
      <c r="H97" s="146">
        <f>H98</f>
        <v>0</v>
      </c>
      <c r="I97" s="146">
        <f>I98</f>
        <v>195.48699999999999</v>
      </c>
      <c r="J97" s="146">
        <f>J98</f>
        <v>0</v>
      </c>
      <c r="K97" s="680">
        <f t="shared" si="5"/>
        <v>0</v>
      </c>
      <c r="L97" s="680">
        <f t="shared" si="6"/>
        <v>0</v>
      </c>
    </row>
    <row r="98" spans="1:12" s="63" customFormat="1" ht="31.5">
      <c r="A98" s="157" t="s">
        <v>1165</v>
      </c>
      <c r="B98" s="158">
        <v>934</v>
      </c>
      <c r="C98" s="155" t="s">
        <v>152</v>
      </c>
      <c r="D98" s="155" t="s">
        <v>161</v>
      </c>
      <c r="E98" s="541" t="s">
        <v>818</v>
      </c>
      <c r="F98" s="149"/>
      <c r="G98" s="150">
        <f>G99+G100</f>
        <v>195.48699999999999</v>
      </c>
      <c r="H98" s="150">
        <v>0</v>
      </c>
      <c r="I98" s="150">
        <f>I99+I100</f>
        <v>195.48699999999999</v>
      </c>
      <c r="J98" s="150">
        <v>0</v>
      </c>
      <c r="K98" s="680">
        <f t="shared" si="5"/>
        <v>0</v>
      </c>
      <c r="L98" s="680">
        <f t="shared" si="6"/>
        <v>0</v>
      </c>
    </row>
    <row r="99" spans="1:12" ht="31.5">
      <c r="A99" s="123" t="s">
        <v>209</v>
      </c>
      <c r="B99" s="70">
        <v>934</v>
      </c>
      <c r="C99" s="68" t="s">
        <v>152</v>
      </c>
      <c r="D99" s="68" t="s">
        <v>161</v>
      </c>
      <c r="E99" s="68" t="s">
        <v>385</v>
      </c>
      <c r="F99" s="82">
        <v>244</v>
      </c>
      <c r="G99" s="81">
        <v>100</v>
      </c>
      <c r="H99" s="81">
        <v>0</v>
      </c>
      <c r="I99" s="81">
        <v>100</v>
      </c>
      <c r="J99" s="81">
        <v>0</v>
      </c>
      <c r="K99" s="680">
        <f t="shared" si="5"/>
        <v>0</v>
      </c>
      <c r="L99" s="680">
        <f t="shared" si="6"/>
        <v>0</v>
      </c>
    </row>
    <row r="100" spans="1:12">
      <c r="A100" s="48" t="s">
        <v>1036</v>
      </c>
      <c r="B100" s="70">
        <v>934</v>
      </c>
      <c r="C100" s="68" t="s">
        <v>152</v>
      </c>
      <c r="D100" s="68" t="s">
        <v>161</v>
      </c>
      <c r="E100" s="68" t="s">
        <v>385</v>
      </c>
      <c r="F100" s="82">
        <v>853</v>
      </c>
      <c r="G100" s="81">
        <v>95.486999999999995</v>
      </c>
      <c r="H100" s="81">
        <v>0</v>
      </c>
      <c r="I100" s="81">
        <v>95.486999999999995</v>
      </c>
      <c r="J100" s="81"/>
      <c r="K100" s="680">
        <f t="shared" si="5"/>
        <v>0</v>
      </c>
      <c r="L100" s="680">
        <f t="shared" si="6"/>
        <v>0</v>
      </c>
    </row>
    <row r="101" spans="1:12" ht="47.25">
      <c r="A101" s="507" t="s">
        <v>834</v>
      </c>
      <c r="B101" s="160">
        <v>934</v>
      </c>
      <c r="C101" s="153" t="s">
        <v>152</v>
      </c>
      <c r="D101" s="153" t="s">
        <v>161</v>
      </c>
      <c r="E101" s="515" t="s">
        <v>847</v>
      </c>
      <c r="F101" s="625"/>
      <c r="G101" s="162">
        <f t="shared" ref="G101:J102" si="10">G102</f>
        <v>21219.928</v>
      </c>
      <c r="H101" s="162">
        <f t="shared" si="10"/>
        <v>7458.7300000000005</v>
      </c>
      <c r="I101" s="162">
        <f t="shared" si="10"/>
        <v>14493.298000000001</v>
      </c>
      <c r="J101" s="162">
        <f t="shared" si="10"/>
        <v>0</v>
      </c>
      <c r="K101" s="680">
        <f t="shared" si="5"/>
        <v>6726.6299999999992</v>
      </c>
      <c r="L101" s="680">
        <f t="shared" si="6"/>
        <v>7458.7300000000005</v>
      </c>
    </row>
    <row r="102" spans="1:12" ht="42" customHeight="1">
      <c r="A102" s="608" t="s">
        <v>846</v>
      </c>
      <c r="B102" s="158">
        <v>934</v>
      </c>
      <c r="C102" s="155" t="s">
        <v>152</v>
      </c>
      <c r="D102" s="155" t="s">
        <v>161</v>
      </c>
      <c r="E102" s="68" t="s">
        <v>857</v>
      </c>
      <c r="F102" s="605"/>
      <c r="G102" s="163">
        <f t="shared" si="10"/>
        <v>21219.928</v>
      </c>
      <c r="H102" s="163">
        <f t="shared" si="10"/>
        <v>7458.7300000000005</v>
      </c>
      <c r="I102" s="163">
        <f t="shared" si="10"/>
        <v>14493.298000000001</v>
      </c>
      <c r="J102" s="163">
        <f t="shared" si="10"/>
        <v>0</v>
      </c>
      <c r="K102" s="680">
        <f t="shared" si="5"/>
        <v>6726.6299999999992</v>
      </c>
      <c r="L102" s="680">
        <f t="shared" si="6"/>
        <v>7458.7300000000005</v>
      </c>
    </row>
    <row r="103" spans="1:12" ht="47.25">
      <c r="A103" s="608" t="s">
        <v>835</v>
      </c>
      <c r="B103" s="70">
        <v>934</v>
      </c>
      <c r="C103" s="68" t="s">
        <v>152</v>
      </c>
      <c r="D103" s="68" t="s">
        <v>161</v>
      </c>
      <c r="E103" s="68" t="s">
        <v>840</v>
      </c>
      <c r="F103" s="82"/>
      <c r="G103" s="81">
        <f>G104+G110+G113+G116</f>
        <v>21219.928</v>
      </c>
      <c r="H103" s="81">
        <f>H104+H110+H116</f>
        <v>7458.7300000000005</v>
      </c>
      <c r="I103" s="81">
        <f>I104+I110+I113+I116</f>
        <v>14493.298000000001</v>
      </c>
      <c r="J103" s="81">
        <f>J104+J110+J116</f>
        <v>0</v>
      </c>
      <c r="K103" s="680">
        <f t="shared" si="5"/>
        <v>6726.6299999999992</v>
      </c>
      <c r="L103" s="680">
        <f t="shared" si="6"/>
        <v>7458.7300000000005</v>
      </c>
    </row>
    <row r="104" spans="1:12">
      <c r="A104" s="608" t="s">
        <v>815</v>
      </c>
      <c r="B104" s="70">
        <v>934</v>
      </c>
      <c r="C104" s="68" t="s">
        <v>152</v>
      </c>
      <c r="D104" s="68" t="s">
        <v>161</v>
      </c>
      <c r="E104" s="68" t="s">
        <v>858</v>
      </c>
      <c r="F104" s="82"/>
      <c r="G104" s="81">
        <f>G105+G106+G107+G108+G109</f>
        <v>13761.198</v>
      </c>
      <c r="H104" s="81">
        <v>0</v>
      </c>
      <c r="I104" s="81">
        <f>I105+I106+I107+I108+I109</f>
        <v>14493.298000000001</v>
      </c>
      <c r="J104" s="81">
        <v>0</v>
      </c>
      <c r="K104" s="680">
        <f t="shared" si="5"/>
        <v>-732.10000000000036</v>
      </c>
      <c r="L104" s="680">
        <f t="shared" si="6"/>
        <v>0</v>
      </c>
    </row>
    <row r="105" spans="1:12">
      <c r="A105" s="48" t="s">
        <v>324</v>
      </c>
      <c r="B105" s="70">
        <v>934</v>
      </c>
      <c r="C105" s="68" t="s">
        <v>152</v>
      </c>
      <c r="D105" s="68" t="s">
        <v>161</v>
      </c>
      <c r="E105" s="68" t="s">
        <v>858</v>
      </c>
      <c r="F105" s="68" t="s">
        <v>311</v>
      </c>
      <c r="G105" s="81">
        <f>9979.492-562.289</f>
        <v>9417.2029999999995</v>
      </c>
      <c r="H105" s="81">
        <v>0</v>
      </c>
      <c r="I105" s="81">
        <v>9979.4920000000002</v>
      </c>
      <c r="J105" s="81">
        <v>0</v>
      </c>
      <c r="K105" s="680">
        <f t="shared" si="5"/>
        <v>-562.28900000000067</v>
      </c>
      <c r="L105" s="680">
        <f t="shared" si="6"/>
        <v>0</v>
      </c>
    </row>
    <row r="106" spans="1:12" ht="31.5">
      <c r="A106" s="48" t="s">
        <v>6</v>
      </c>
      <c r="B106" s="70">
        <v>934</v>
      </c>
      <c r="C106" s="68" t="s">
        <v>152</v>
      </c>
      <c r="D106" s="68" t="s">
        <v>161</v>
      </c>
      <c r="E106" s="68" t="s">
        <v>858</v>
      </c>
      <c r="F106" s="68" t="s">
        <v>316</v>
      </c>
      <c r="G106" s="81">
        <v>50</v>
      </c>
      <c r="H106" s="81">
        <v>0</v>
      </c>
      <c r="I106" s="81">
        <v>50</v>
      </c>
      <c r="J106" s="81">
        <v>0</v>
      </c>
      <c r="K106" s="680">
        <f t="shared" si="5"/>
        <v>0</v>
      </c>
      <c r="L106" s="680">
        <f t="shared" si="6"/>
        <v>0</v>
      </c>
    </row>
    <row r="107" spans="1:12" ht="47.25">
      <c r="A107" s="164" t="s">
        <v>325</v>
      </c>
      <c r="B107" s="70">
        <v>934</v>
      </c>
      <c r="C107" s="68" t="s">
        <v>152</v>
      </c>
      <c r="D107" s="68" t="s">
        <v>161</v>
      </c>
      <c r="E107" s="68" t="s">
        <v>858</v>
      </c>
      <c r="F107" s="68" t="s">
        <v>326</v>
      </c>
      <c r="G107" s="81">
        <f>3013.806-169.811</f>
        <v>2843.9949999999999</v>
      </c>
      <c r="H107" s="81">
        <v>0</v>
      </c>
      <c r="I107" s="81">
        <v>3013.806</v>
      </c>
      <c r="J107" s="81">
        <v>0</v>
      </c>
      <c r="K107" s="680">
        <f t="shared" si="5"/>
        <v>-169.81100000000015</v>
      </c>
      <c r="L107" s="680">
        <f t="shared" si="6"/>
        <v>0</v>
      </c>
    </row>
    <row r="108" spans="1:12" ht="31.5">
      <c r="A108" s="97" t="s">
        <v>317</v>
      </c>
      <c r="B108" s="70">
        <v>934</v>
      </c>
      <c r="C108" s="68" t="s">
        <v>152</v>
      </c>
      <c r="D108" s="68" t="s">
        <v>161</v>
      </c>
      <c r="E108" s="68" t="s">
        <v>858</v>
      </c>
      <c r="F108" s="68" t="s">
        <v>318</v>
      </c>
      <c r="G108" s="81">
        <v>50</v>
      </c>
      <c r="H108" s="81">
        <v>0</v>
      </c>
      <c r="I108" s="81">
        <v>50</v>
      </c>
      <c r="J108" s="81"/>
      <c r="K108" s="680">
        <f t="shared" si="5"/>
        <v>0</v>
      </c>
      <c r="L108" s="680">
        <f t="shared" si="6"/>
        <v>0</v>
      </c>
    </row>
    <row r="109" spans="1:12" ht="31.5">
      <c r="A109" s="123" t="s">
        <v>209</v>
      </c>
      <c r="B109" s="70">
        <v>934</v>
      </c>
      <c r="C109" s="68" t="s">
        <v>152</v>
      </c>
      <c r="D109" s="68" t="s">
        <v>161</v>
      </c>
      <c r="E109" s="68" t="s">
        <v>858</v>
      </c>
      <c r="F109" s="68" t="s">
        <v>312</v>
      </c>
      <c r="G109" s="81">
        <v>1400</v>
      </c>
      <c r="H109" s="81">
        <v>0</v>
      </c>
      <c r="I109" s="81">
        <v>1400</v>
      </c>
      <c r="J109" s="81">
        <v>0</v>
      </c>
      <c r="K109" s="680">
        <f t="shared" si="5"/>
        <v>0</v>
      </c>
      <c r="L109" s="680">
        <f t="shared" si="6"/>
        <v>0</v>
      </c>
    </row>
    <row r="110" spans="1:12" ht="63">
      <c r="A110" s="46" t="s">
        <v>570</v>
      </c>
      <c r="B110" s="70">
        <v>934</v>
      </c>
      <c r="C110" s="68" t="s">
        <v>152</v>
      </c>
      <c r="D110" s="68" t="s">
        <v>161</v>
      </c>
      <c r="E110" s="68" t="s">
        <v>879</v>
      </c>
      <c r="F110" s="68"/>
      <c r="G110" s="81">
        <f>G111+G112</f>
        <v>7458.7300000000005</v>
      </c>
      <c r="H110" s="81">
        <f>H111+H112</f>
        <v>7458.7300000000005</v>
      </c>
      <c r="I110" s="81">
        <f>I111+I112</f>
        <v>0</v>
      </c>
      <c r="J110" s="81">
        <f>J111+J112</f>
        <v>0</v>
      </c>
      <c r="K110" s="680">
        <f t="shared" si="5"/>
        <v>7458.7300000000005</v>
      </c>
      <c r="L110" s="680">
        <f t="shared" si="6"/>
        <v>7458.7300000000005</v>
      </c>
    </row>
    <row r="111" spans="1:12">
      <c r="A111" s="48" t="s">
        <v>324</v>
      </c>
      <c r="B111" s="70">
        <v>934</v>
      </c>
      <c r="C111" s="68" t="s">
        <v>152</v>
      </c>
      <c r="D111" s="68" t="s">
        <v>161</v>
      </c>
      <c r="E111" s="68" t="s">
        <v>879</v>
      </c>
      <c r="F111" s="68" t="s">
        <v>311</v>
      </c>
      <c r="G111" s="81">
        <f>1895.00768+3833.664</f>
        <v>5728.6716800000004</v>
      </c>
      <c r="H111" s="81">
        <f>G111</f>
        <v>5728.6716800000004</v>
      </c>
      <c r="I111" s="81"/>
      <c r="J111" s="81">
        <f>I111</f>
        <v>0</v>
      </c>
      <c r="K111" s="680">
        <f t="shared" si="5"/>
        <v>5728.6716800000004</v>
      </c>
      <c r="L111" s="680">
        <f t="shared" si="6"/>
        <v>5728.6716800000004</v>
      </c>
    </row>
    <row r="112" spans="1:12" ht="47.25">
      <c r="A112" s="164" t="s">
        <v>325</v>
      </c>
      <c r="B112" s="70">
        <v>934</v>
      </c>
      <c r="C112" s="68" t="s">
        <v>152</v>
      </c>
      <c r="D112" s="68" t="s">
        <v>161</v>
      </c>
      <c r="E112" s="68" t="s">
        <v>879</v>
      </c>
      <c r="F112" s="68" t="s">
        <v>326</v>
      </c>
      <c r="G112" s="81">
        <f>572.29232+1157.766</f>
        <v>1730.0583200000001</v>
      </c>
      <c r="H112" s="81">
        <f>G112</f>
        <v>1730.0583200000001</v>
      </c>
      <c r="I112" s="81"/>
      <c r="J112" s="81">
        <f>I112</f>
        <v>0</v>
      </c>
      <c r="K112" s="680">
        <f t="shared" si="5"/>
        <v>1730.0583200000001</v>
      </c>
      <c r="L112" s="680">
        <f t="shared" si="6"/>
        <v>1730.0583200000001</v>
      </c>
    </row>
    <row r="113" spans="1:12" ht="78.75" hidden="1">
      <c r="A113" s="46" t="s">
        <v>571</v>
      </c>
      <c r="B113" s="70">
        <v>934</v>
      </c>
      <c r="C113" s="68" t="s">
        <v>152</v>
      </c>
      <c r="D113" s="68" t="s">
        <v>161</v>
      </c>
      <c r="E113" s="68" t="s">
        <v>879</v>
      </c>
      <c r="F113" s="68"/>
      <c r="G113" s="81">
        <f>G114+G115</f>
        <v>0</v>
      </c>
      <c r="H113" s="81"/>
      <c r="I113" s="81">
        <f>I114+I115</f>
        <v>0</v>
      </c>
      <c r="J113" s="81"/>
      <c r="K113" s="680">
        <f t="shared" si="5"/>
        <v>0</v>
      </c>
      <c r="L113" s="680">
        <f t="shared" si="6"/>
        <v>0</v>
      </c>
    </row>
    <row r="114" spans="1:12" hidden="1">
      <c r="A114" s="48" t="s">
        <v>324</v>
      </c>
      <c r="B114" s="70">
        <v>934</v>
      </c>
      <c r="C114" s="68" t="s">
        <v>152</v>
      </c>
      <c r="D114" s="68" t="s">
        <v>161</v>
      </c>
      <c r="E114" s="68" t="s">
        <v>879</v>
      </c>
      <c r="F114" s="68" t="s">
        <v>311</v>
      </c>
      <c r="G114" s="81"/>
      <c r="H114" s="81"/>
      <c r="I114" s="81"/>
      <c r="J114" s="81"/>
      <c r="K114" s="680">
        <f t="shared" si="5"/>
        <v>0</v>
      </c>
      <c r="L114" s="680">
        <f t="shared" si="6"/>
        <v>0</v>
      </c>
    </row>
    <row r="115" spans="1:12" ht="47.25" hidden="1">
      <c r="A115" s="164" t="s">
        <v>325</v>
      </c>
      <c r="B115" s="70">
        <v>934</v>
      </c>
      <c r="C115" s="68" t="s">
        <v>152</v>
      </c>
      <c r="D115" s="68" t="s">
        <v>161</v>
      </c>
      <c r="E115" s="68" t="s">
        <v>879</v>
      </c>
      <c r="F115" s="68" t="s">
        <v>326</v>
      </c>
      <c r="G115" s="81"/>
      <c r="H115" s="81"/>
      <c r="I115" s="81"/>
      <c r="J115" s="81"/>
      <c r="K115" s="680">
        <f t="shared" si="5"/>
        <v>0</v>
      </c>
      <c r="L115" s="680">
        <f t="shared" si="6"/>
        <v>0</v>
      </c>
    </row>
    <row r="116" spans="1:12" ht="31.5" hidden="1">
      <c r="A116" s="164" t="s">
        <v>1069</v>
      </c>
      <c r="B116" s="70">
        <v>934</v>
      </c>
      <c r="C116" s="68" t="s">
        <v>152</v>
      </c>
      <c r="D116" s="68" t="s">
        <v>161</v>
      </c>
      <c r="E116" s="68" t="s">
        <v>1070</v>
      </c>
      <c r="F116" s="68"/>
      <c r="G116" s="81">
        <f>G117+G118</f>
        <v>0</v>
      </c>
      <c r="H116" s="81">
        <f>H117+H118</f>
        <v>0</v>
      </c>
      <c r="I116" s="81">
        <f>I117+I118</f>
        <v>0</v>
      </c>
      <c r="J116" s="81">
        <f>J117+J118</f>
        <v>0</v>
      </c>
      <c r="K116" s="680">
        <f t="shared" si="5"/>
        <v>0</v>
      </c>
      <c r="L116" s="680">
        <f t="shared" si="6"/>
        <v>0</v>
      </c>
    </row>
    <row r="117" spans="1:12" hidden="1">
      <c r="A117" s="48" t="s">
        <v>324</v>
      </c>
      <c r="B117" s="70">
        <v>934</v>
      </c>
      <c r="C117" s="68" t="s">
        <v>152</v>
      </c>
      <c r="D117" s="68" t="s">
        <v>161</v>
      </c>
      <c r="E117" s="68" t="s">
        <v>1070</v>
      </c>
      <c r="F117" s="68" t="s">
        <v>311</v>
      </c>
      <c r="G117" s="81"/>
      <c r="H117" s="81">
        <f>G117</f>
        <v>0</v>
      </c>
      <c r="I117" s="81"/>
      <c r="J117" s="81">
        <f>I117</f>
        <v>0</v>
      </c>
      <c r="K117" s="680">
        <f t="shared" si="5"/>
        <v>0</v>
      </c>
      <c r="L117" s="680">
        <f t="shared" si="6"/>
        <v>0</v>
      </c>
    </row>
    <row r="118" spans="1:12" ht="47.25" hidden="1">
      <c r="A118" s="164" t="s">
        <v>325</v>
      </c>
      <c r="B118" s="70">
        <v>934</v>
      </c>
      <c r="C118" s="68" t="s">
        <v>152</v>
      </c>
      <c r="D118" s="68" t="s">
        <v>161</v>
      </c>
      <c r="E118" s="68" t="s">
        <v>1070</v>
      </c>
      <c r="F118" s="68" t="s">
        <v>326</v>
      </c>
      <c r="G118" s="81"/>
      <c r="H118" s="81">
        <f>G118</f>
        <v>0</v>
      </c>
      <c r="I118" s="81"/>
      <c r="J118" s="81">
        <f>I118</f>
        <v>0</v>
      </c>
      <c r="K118" s="680">
        <f t="shared" si="5"/>
        <v>0</v>
      </c>
      <c r="L118" s="680">
        <f t="shared" si="6"/>
        <v>0</v>
      </c>
    </row>
    <row r="119" spans="1:12" ht="47.25">
      <c r="A119" s="507" t="s">
        <v>827</v>
      </c>
      <c r="B119" s="160">
        <v>934</v>
      </c>
      <c r="C119" s="153" t="s">
        <v>152</v>
      </c>
      <c r="D119" s="153" t="s">
        <v>161</v>
      </c>
      <c r="E119" s="153" t="s">
        <v>414</v>
      </c>
      <c r="F119" s="153"/>
      <c r="G119" s="162">
        <f>G120</f>
        <v>1112.6410000000001</v>
      </c>
      <c r="H119" s="162">
        <v>0</v>
      </c>
      <c r="I119" s="162">
        <f>I120</f>
        <v>1912.6410000000001</v>
      </c>
      <c r="J119" s="162">
        <v>0</v>
      </c>
      <c r="K119" s="680">
        <f t="shared" si="5"/>
        <v>-800</v>
      </c>
      <c r="L119" s="680">
        <f t="shared" si="6"/>
        <v>0</v>
      </c>
    </row>
    <row r="120" spans="1:12" ht="47.25">
      <c r="A120" s="186" t="s">
        <v>633</v>
      </c>
      <c r="B120" s="70">
        <v>934</v>
      </c>
      <c r="C120" s="68" t="s">
        <v>152</v>
      </c>
      <c r="D120" s="68" t="s">
        <v>161</v>
      </c>
      <c r="E120" s="68" t="s">
        <v>414</v>
      </c>
      <c r="F120" s="68"/>
      <c r="G120" s="81">
        <f>G121</f>
        <v>1112.6410000000001</v>
      </c>
      <c r="H120" s="81">
        <v>0</v>
      </c>
      <c r="I120" s="81">
        <f>I121</f>
        <v>1912.6410000000001</v>
      </c>
      <c r="J120" s="81">
        <v>0</v>
      </c>
      <c r="K120" s="680">
        <f t="shared" si="5"/>
        <v>-800</v>
      </c>
      <c r="L120" s="680">
        <f t="shared" si="6"/>
        <v>0</v>
      </c>
    </row>
    <row r="121" spans="1:12">
      <c r="A121" s="48" t="s">
        <v>314</v>
      </c>
      <c r="B121" s="70">
        <v>934</v>
      </c>
      <c r="C121" s="68" t="s">
        <v>152</v>
      </c>
      <c r="D121" s="68" t="s">
        <v>161</v>
      </c>
      <c r="E121" s="68" t="s">
        <v>826</v>
      </c>
      <c r="F121" s="68" t="s">
        <v>816</v>
      </c>
      <c r="G121" s="81">
        <f>1912.641-800</f>
        <v>1112.6410000000001</v>
      </c>
      <c r="H121" s="81">
        <v>0</v>
      </c>
      <c r="I121" s="81">
        <v>1912.6410000000001</v>
      </c>
      <c r="J121" s="81">
        <v>0</v>
      </c>
      <c r="K121" s="680">
        <f t="shared" si="5"/>
        <v>-800</v>
      </c>
      <c r="L121" s="680">
        <f t="shared" si="6"/>
        <v>0</v>
      </c>
    </row>
    <row r="122" spans="1:12" s="62" customFormat="1">
      <c r="A122" s="52" t="s">
        <v>102</v>
      </c>
      <c r="B122" s="74">
        <v>934</v>
      </c>
      <c r="C122" s="75" t="s">
        <v>152</v>
      </c>
      <c r="D122" s="75" t="s">
        <v>162</v>
      </c>
      <c r="E122" s="271"/>
      <c r="F122" s="398"/>
      <c r="G122" s="94">
        <f t="shared" ref="G122:J126" si="11">G123</f>
        <v>11.7</v>
      </c>
      <c r="H122" s="94">
        <f t="shared" si="11"/>
        <v>11.7</v>
      </c>
      <c r="I122" s="94">
        <f t="shared" si="11"/>
        <v>2.9</v>
      </c>
      <c r="J122" s="94">
        <f t="shared" si="11"/>
        <v>2.9</v>
      </c>
      <c r="K122" s="680">
        <f t="shared" si="5"/>
        <v>8.7999999999999989</v>
      </c>
      <c r="L122" s="680">
        <f t="shared" si="6"/>
        <v>8.7999999999999989</v>
      </c>
    </row>
    <row r="123" spans="1:12" s="62" customFormat="1" ht="47.25">
      <c r="A123" s="507" t="s">
        <v>834</v>
      </c>
      <c r="B123" s="633">
        <v>934</v>
      </c>
      <c r="C123" s="515" t="s">
        <v>152</v>
      </c>
      <c r="D123" s="515" t="s">
        <v>162</v>
      </c>
      <c r="E123" s="515" t="s">
        <v>847</v>
      </c>
      <c r="F123" s="634"/>
      <c r="G123" s="377">
        <f t="shared" si="11"/>
        <v>11.7</v>
      </c>
      <c r="H123" s="377">
        <f t="shared" si="11"/>
        <v>11.7</v>
      </c>
      <c r="I123" s="377">
        <f t="shared" si="11"/>
        <v>2.9</v>
      </c>
      <c r="J123" s="377">
        <f t="shared" si="11"/>
        <v>2.9</v>
      </c>
      <c r="K123" s="680">
        <f t="shared" si="5"/>
        <v>8.7999999999999989</v>
      </c>
      <c r="L123" s="680">
        <f t="shared" si="6"/>
        <v>8.7999999999999989</v>
      </c>
    </row>
    <row r="124" spans="1:12" s="62" customFormat="1" ht="31.5">
      <c r="A124" s="608" t="s">
        <v>846</v>
      </c>
      <c r="B124" s="74">
        <v>934</v>
      </c>
      <c r="C124" s="75" t="s">
        <v>152</v>
      </c>
      <c r="D124" s="75" t="s">
        <v>162</v>
      </c>
      <c r="E124" s="271" t="s">
        <v>857</v>
      </c>
      <c r="F124" s="398"/>
      <c r="G124" s="94">
        <f t="shared" si="11"/>
        <v>11.7</v>
      </c>
      <c r="H124" s="94">
        <f t="shared" si="11"/>
        <v>11.7</v>
      </c>
      <c r="I124" s="94">
        <f t="shared" si="11"/>
        <v>2.9</v>
      </c>
      <c r="J124" s="94">
        <f t="shared" si="11"/>
        <v>2.9</v>
      </c>
      <c r="K124" s="680">
        <f t="shared" si="5"/>
        <v>8.7999999999999989</v>
      </c>
      <c r="L124" s="680">
        <f t="shared" si="6"/>
        <v>8.7999999999999989</v>
      </c>
    </row>
    <row r="125" spans="1:12" s="62" customFormat="1" ht="47.25">
      <c r="A125" s="466" t="s">
        <v>843</v>
      </c>
      <c r="B125" s="74">
        <v>934</v>
      </c>
      <c r="C125" s="75" t="s">
        <v>152</v>
      </c>
      <c r="D125" s="75" t="s">
        <v>162</v>
      </c>
      <c r="E125" s="75" t="s">
        <v>842</v>
      </c>
      <c r="F125" s="398"/>
      <c r="G125" s="94">
        <f t="shared" si="11"/>
        <v>11.7</v>
      </c>
      <c r="H125" s="94">
        <f t="shared" si="11"/>
        <v>11.7</v>
      </c>
      <c r="I125" s="94">
        <f t="shared" si="11"/>
        <v>2.9</v>
      </c>
      <c r="J125" s="94">
        <f t="shared" si="11"/>
        <v>2.9</v>
      </c>
      <c r="K125" s="680">
        <f t="shared" si="5"/>
        <v>8.7999999999999989</v>
      </c>
      <c r="L125" s="680">
        <f t="shared" si="6"/>
        <v>8.7999999999999989</v>
      </c>
    </row>
    <row r="126" spans="1:12" ht="47.25">
      <c r="A126" s="48" t="s">
        <v>449</v>
      </c>
      <c r="B126" s="70">
        <v>934</v>
      </c>
      <c r="C126" s="68" t="s">
        <v>152</v>
      </c>
      <c r="D126" s="68" t="s">
        <v>162</v>
      </c>
      <c r="E126" s="120" t="s">
        <v>848</v>
      </c>
      <c r="F126" s="349"/>
      <c r="G126" s="119">
        <f t="shared" si="11"/>
        <v>11.7</v>
      </c>
      <c r="H126" s="119">
        <f t="shared" si="11"/>
        <v>11.7</v>
      </c>
      <c r="I126" s="119">
        <f t="shared" si="11"/>
        <v>2.9</v>
      </c>
      <c r="J126" s="119">
        <f t="shared" si="11"/>
        <v>2.9</v>
      </c>
      <c r="K126" s="680">
        <f t="shared" si="5"/>
        <v>8.7999999999999989</v>
      </c>
      <c r="L126" s="680">
        <f t="shared" si="6"/>
        <v>8.7999999999999989</v>
      </c>
    </row>
    <row r="127" spans="1:12" ht="31.5">
      <c r="A127" s="123" t="s">
        <v>209</v>
      </c>
      <c r="B127" s="70">
        <v>934</v>
      </c>
      <c r="C127" s="68" t="s">
        <v>152</v>
      </c>
      <c r="D127" s="68" t="s">
        <v>162</v>
      </c>
      <c r="E127" s="120" t="s">
        <v>848</v>
      </c>
      <c r="F127" s="349">
        <v>244</v>
      </c>
      <c r="G127" s="119">
        <v>11.7</v>
      </c>
      <c r="H127" s="119">
        <f>G127</f>
        <v>11.7</v>
      </c>
      <c r="I127" s="119">
        <v>2.9</v>
      </c>
      <c r="J127" s="119">
        <f>I127</f>
        <v>2.9</v>
      </c>
      <c r="K127" s="680">
        <f t="shared" si="5"/>
        <v>8.7999999999999989</v>
      </c>
      <c r="L127" s="680">
        <f t="shared" si="6"/>
        <v>8.7999999999999989</v>
      </c>
    </row>
    <row r="128" spans="1:12">
      <c r="A128" s="635" t="s">
        <v>862</v>
      </c>
      <c r="B128" s="74">
        <v>934</v>
      </c>
      <c r="C128" s="75" t="s">
        <v>152</v>
      </c>
      <c r="D128" s="75" t="s">
        <v>154</v>
      </c>
      <c r="E128" s="271"/>
      <c r="F128" s="398"/>
      <c r="G128" s="94">
        <f>G129</f>
        <v>0</v>
      </c>
      <c r="H128" s="94">
        <v>0</v>
      </c>
      <c r="I128" s="94">
        <f>I129</f>
        <v>0</v>
      </c>
      <c r="J128" s="94">
        <v>0</v>
      </c>
      <c r="K128" s="680">
        <f t="shared" si="5"/>
        <v>0</v>
      </c>
      <c r="L128" s="680">
        <f t="shared" si="6"/>
        <v>0</v>
      </c>
    </row>
    <row r="129" spans="1:12" ht="31.5">
      <c r="A129" s="49" t="s">
        <v>631</v>
      </c>
      <c r="B129" s="383">
        <v>934</v>
      </c>
      <c r="C129" s="68" t="s">
        <v>152</v>
      </c>
      <c r="D129" s="68" t="s">
        <v>154</v>
      </c>
      <c r="E129" s="195" t="s">
        <v>558</v>
      </c>
      <c r="F129" s="349"/>
      <c r="G129" s="119">
        <f>G130</f>
        <v>0</v>
      </c>
      <c r="H129" s="119">
        <v>0</v>
      </c>
      <c r="I129" s="119">
        <f>I130</f>
        <v>0</v>
      </c>
      <c r="J129" s="119">
        <v>0</v>
      </c>
      <c r="K129" s="680">
        <f t="shared" si="5"/>
        <v>0</v>
      </c>
      <c r="L129" s="680">
        <f t="shared" si="6"/>
        <v>0</v>
      </c>
    </row>
    <row r="130" spans="1:12">
      <c r="A130" s="48" t="s">
        <v>863</v>
      </c>
      <c r="B130" s="383">
        <v>934</v>
      </c>
      <c r="C130" s="68" t="s">
        <v>152</v>
      </c>
      <c r="D130" s="410" t="s">
        <v>154</v>
      </c>
      <c r="E130" s="195" t="s">
        <v>558</v>
      </c>
      <c r="F130" s="349">
        <v>880</v>
      </c>
      <c r="G130" s="119"/>
      <c r="H130" s="119">
        <v>0</v>
      </c>
      <c r="I130" s="119"/>
      <c r="J130" s="119">
        <v>0</v>
      </c>
      <c r="K130" s="680">
        <f t="shared" si="5"/>
        <v>0</v>
      </c>
      <c r="L130" s="680">
        <f t="shared" si="6"/>
        <v>0</v>
      </c>
    </row>
    <row r="131" spans="1:12" s="63" customFormat="1">
      <c r="A131" s="51" t="s">
        <v>170</v>
      </c>
      <c r="B131" s="77">
        <v>934</v>
      </c>
      <c r="C131" s="78" t="s">
        <v>152</v>
      </c>
      <c r="D131" s="78" t="s">
        <v>160</v>
      </c>
      <c r="E131" s="78"/>
      <c r="F131" s="78"/>
      <c r="G131" s="79">
        <f t="shared" ref="G131:J132" si="12">G132</f>
        <v>500</v>
      </c>
      <c r="H131" s="79">
        <f t="shared" si="12"/>
        <v>0</v>
      </c>
      <c r="I131" s="79">
        <f t="shared" si="12"/>
        <v>500</v>
      </c>
      <c r="J131" s="79">
        <f t="shared" si="12"/>
        <v>0</v>
      </c>
      <c r="K131" s="680">
        <f t="shared" si="5"/>
        <v>0</v>
      </c>
      <c r="L131" s="680">
        <f t="shared" si="6"/>
        <v>0</v>
      </c>
    </row>
    <row r="132" spans="1:12" s="63" customFormat="1">
      <c r="A132" s="49" t="s">
        <v>139</v>
      </c>
      <c r="B132" s="69">
        <v>934</v>
      </c>
      <c r="C132" s="67" t="s">
        <v>152</v>
      </c>
      <c r="D132" s="67" t="s">
        <v>160</v>
      </c>
      <c r="E132" s="68" t="s">
        <v>386</v>
      </c>
      <c r="F132" s="67"/>
      <c r="G132" s="80">
        <f t="shared" si="12"/>
        <v>500</v>
      </c>
      <c r="H132" s="80">
        <f t="shared" si="12"/>
        <v>0</v>
      </c>
      <c r="I132" s="80">
        <f t="shared" si="12"/>
        <v>500</v>
      </c>
      <c r="J132" s="80">
        <f t="shared" si="12"/>
        <v>0</v>
      </c>
      <c r="K132" s="680">
        <f t="shared" si="5"/>
        <v>0</v>
      </c>
      <c r="L132" s="680">
        <f t="shared" si="6"/>
        <v>0</v>
      </c>
    </row>
    <row r="133" spans="1:12">
      <c r="A133" s="48" t="s">
        <v>18</v>
      </c>
      <c r="B133" s="70">
        <v>934</v>
      </c>
      <c r="C133" s="68" t="s">
        <v>152</v>
      </c>
      <c r="D133" s="68" t="s">
        <v>160</v>
      </c>
      <c r="E133" s="68" t="s">
        <v>386</v>
      </c>
      <c r="F133" s="68" t="s">
        <v>315</v>
      </c>
      <c r="G133" s="81">
        <v>500</v>
      </c>
      <c r="H133" s="81">
        <v>0</v>
      </c>
      <c r="I133" s="81">
        <v>500</v>
      </c>
      <c r="J133" s="81">
        <v>0</v>
      </c>
      <c r="K133" s="680">
        <f t="shared" si="5"/>
        <v>0</v>
      </c>
      <c r="L133" s="680">
        <f t="shared" si="6"/>
        <v>0</v>
      </c>
    </row>
    <row r="134" spans="1:12" s="64" customFormat="1">
      <c r="A134" s="51" t="s">
        <v>167</v>
      </c>
      <c r="B134" s="77">
        <v>934</v>
      </c>
      <c r="C134" s="78" t="s">
        <v>152</v>
      </c>
      <c r="D134" s="78" t="s">
        <v>178</v>
      </c>
      <c r="E134" s="78"/>
      <c r="F134" s="78"/>
      <c r="G134" s="79">
        <f>G141+G165+G135</f>
        <v>58277.1</v>
      </c>
      <c r="H134" s="79">
        <f>H141+H165+H135</f>
        <v>17842.400000000001</v>
      </c>
      <c r="I134" s="79">
        <f>I141+I165+I135</f>
        <v>42073.599999999999</v>
      </c>
      <c r="J134" s="79">
        <f>J141+J165+J135</f>
        <v>1779.8999999999999</v>
      </c>
      <c r="K134" s="680">
        <f t="shared" si="5"/>
        <v>16203.5</v>
      </c>
      <c r="L134" s="680">
        <f t="shared" si="6"/>
        <v>16062.500000000002</v>
      </c>
    </row>
    <row r="135" spans="1:12" s="64" customFormat="1" ht="47.25">
      <c r="A135" s="496" t="s">
        <v>1104</v>
      </c>
      <c r="B135" s="144" t="s">
        <v>140</v>
      </c>
      <c r="C135" s="144" t="s">
        <v>152</v>
      </c>
      <c r="D135" s="144" t="s">
        <v>178</v>
      </c>
      <c r="E135" s="515"/>
      <c r="F135" s="152"/>
      <c r="G135" s="154">
        <f>G136</f>
        <v>298</v>
      </c>
      <c r="H135" s="154">
        <f>H136</f>
        <v>149</v>
      </c>
      <c r="I135" s="154">
        <f>I136</f>
        <v>316</v>
      </c>
      <c r="J135" s="154">
        <f>J136</f>
        <v>158</v>
      </c>
      <c r="K135" s="680">
        <f t="shared" si="5"/>
        <v>-18</v>
      </c>
      <c r="L135" s="680">
        <f t="shared" si="6"/>
        <v>-9</v>
      </c>
    </row>
    <row r="136" spans="1:12" s="64" customFormat="1" ht="31.5">
      <c r="A136" s="770" t="s">
        <v>1168</v>
      </c>
      <c r="B136" s="67" t="s">
        <v>140</v>
      </c>
      <c r="C136" s="67" t="s">
        <v>152</v>
      </c>
      <c r="D136" s="67" t="s">
        <v>178</v>
      </c>
      <c r="E136" s="75"/>
      <c r="F136" s="78"/>
      <c r="G136" s="79">
        <f>G137+G139</f>
        <v>298</v>
      </c>
      <c r="H136" s="79">
        <f>H137+H139</f>
        <v>149</v>
      </c>
      <c r="I136" s="79">
        <f>I137+I139</f>
        <v>316</v>
      </c>
      <c r="J136" s="79">
        <f>J137+J139</f>
        <v>158</v>
      </c>
      <c r="K136" s="680">
        <f t="shared" si="5"/>
        <v>-18</v>
      </c>
      <c r="L136" s="680">
        <f t="shared" si="6"/>
        <v>-9</v>
      </c>
    </row>
    <row r="137" spans="1:12" s="64" customFormat="1" ht="47.25">
      <c r="A137" s="347" t="s">
        <v>573</v>
      </c>
      <c r="B137" s="67" t="s">
        <v>140</v>
      </c>
      <c r="C137" s="67" t="s">
        <v>152</v>
      </c>
      <c r="D137" s="67" t="s">
        <v>178</v>
      </c>
      <c r="E137" s="68" t="s">
        <v>1170</v>
      </c>
      <c r="F137" s="129"/>
      <c r="G137" s="93">
        <f>G138</f>
        <v>149</v>
      </c>
      <c r="H137" s="79">
        <f>H138</f>
        <v>149</v>
      </c>
      <c r="I137" s="93">
        <f>I138</f>
        <v>158</v>
      </c>
      <c r="J137" s="79">
        <f>J138</f>
        <v>158</v>
      </c>
      <c r="K137" s="680">
        <f t="shared" si="5"/>
        <v>-9</v>
      </c>
      <c r="L137" s="680">
        <f t="shared" si="6"/>
        <v>-9</v>
      </c>
    </row>
    <row r="138" spans="1:12" s="64" customFormat="1" ht="39" customHeight="1">
      <c r="A138" s="123" t="s">
        <v>209</v>
      </c>
      <c r="B138" s="68" t="s">
        <v>140</v>
      </c>
      <c r="C138" s="68" t="s">
        <v>152</v>
      </c>
      <c r="D138" s="68" t="s">
        <v>178</v>
      </c>
      <c r="E138" s="68" t="s">
        <v>1170</v>
      </c>
      <c r="F138" s="68" t="s">
        <v>312</v>
      </c>
      <c r="G138" s="81">
        <f>158-9</f>
        <v>149</v>
      </c>
      <c r="H138" s="79">
        <f>G138</f>
        <v>149</v>
      </c>
      <c r="I138" s="81">
        <v>158</v>
      </c>
      <c r="J138" s="79">
        <f>I138</f>
        <v>158</v>
      </c>
      <c r="K138" s="680">
        <f t="shared" si="5"/>
        <v>-9</v>
      </c>
      <c r="L138" s="680">
        <f t="shared" si="6"/>
        <v>-9</v>
      </c>
    </row>
    <row r="139" spans="1:12" s="64" customFormat="1" ht="47.25">
      <c r="A139" s="347" t="s">
        <v>495</v>
      </c>
      <c r="B139" s="129" t="s">
        <v>140</v>
      </c>
      <c r="C139" s="129" t="s">
        <v>152</v>
      </c>
      <c r="D139" s="129" t="s">
        <v>178</v>
      </c>
      <c r="E139" s="68" t="s">
        <v>1170</v>
      </c>
      <c r="F139" s="129"/>
      <c r="G139" s="93">
        <f>G140</f>
        <v>149</v>
      </c>
      <c r="H139" s="79">
        <f>H140</f>
        <v>0</v>
      </c>
      <c r="I139" s="93">
        <f>I140</f>
        <v>158</v>
      </c>
      <c r="J139" s="79">
        <f>J140</f>
        <v>0</v>
      </c>
      <c r="K139" s="680">
        <f t="shared" si="5"/>
        <v>-9</v>
      </c>
      <c r="L139" s="680">
        <f t="shared" si="6"/>
        <v>0</v>
      </c>
    </row>
    <row r="140" spans="1:12" s="64" customFormat="1" ht="31.5">
      <c r="A140" s="123" t="s">
        <v>209</v>
      </c>
      <c r="B140" s="68" t="s">
        <v>140</v>
      </c>
      <c r="C140" s="68" t="s">
        <v>152</v>
      </c>
      <c r="D140" s="68" t="s">
        <v>178</v>
      </c>
      <c r="E140" s="68" t="s">
        <v>1170</v>
      </c>
      <c r="F140" s="68" t="s">
        <v>312</v>
      </c>
      <c r="G140" s="81">
        <v>149</v>
      </c>
      <c r="H140" s="79">
        <v>0</v>
      </c>
      <c r="I140" s="81">
        <v>158</v>
      </c>
      <c r="J140" s="79">
        <v>0</v>
      </c>
      <c r="K140" s="680">
        <f t="shared" si="5"/>
        <v>-9</v>
      </c>
      <c r="L140" s="680">
        <f t="shared" si="6"/>
        <v>0</v>
      </c>
    </row>
    <row r="141" spans="1:12" s="64" customFormat="1" ht="47.25">
      <c r="A141" s="507" t="s">
        <v>834</v>
      </c>
      <c r="B141" s="633">
        <v>934</v>
      </c>
      <c r="C141" s="515" t="s">
        <v>152</v>
      </c>
      <c r="D141" s="515" t="s">
        <v>178</v>
      </c>
      <c r="E141" s="515" t="s">
        <v>847</v>
      </c>
      <c r="F141" s="152"/>
      <c r="G141" s="154">
        <f>G142+G156</f>
        <v>57979.1</v>
      </c>
      <c r="H141" s="154">
        <f>H142+H156</f>
        <v>17693.400000000001</v>
      </c>
      <c r="I141" s="154">
        <f>I142+I156</f>
        <v>41757.599999999999</v>
      </c>
      <c r="J141" s="154">
        <f>J142+J156</f>
        <v>1621.8999999999999</v>
      </c>
      <c r="K141" s="680">
        <f t="shared" si="5"/>
        <v>16221.5</v>
      </c>
      <c r="L141" s="680">
        <f t="shared" si="6"/>
        <v>16071.500000000002</v>
      </c>
    </row>
    <row r="142" spans="1:12" s="64" customFormat="1" ht="47.25">
      <c r="A142" s="650" t="s">
        <v>843</v>
      </c>
      <c r="B142" s="172" t="s">
        <v>140</v>
      </c>
      <c r="C142" s="172" t="s">
        <v>152</v>
      </c>
      <c r="D142" s="172" t="s">
        <v>178</v>
      </c>
      <c r="E142" s="301" t="s">
        <v>842</v>
      </c>
      <c r="F142" s="172"/>
      <c r="G142" s="167">
        <f>G143+G147+G152</f>
        <v>1621.8999999999999</v>
      </c>
      <c r="H142" s="167">
        <f>H143+H147+H152</f>
        <v>1621.8999999999999</v>
      </c>
      <c r="I142" s="167">
        <f>I143+I147+I152</f>
        <v>1621.8999999999999</v>
      </c>
      <c r="J142" s="167">
        <f>J143+J147+J152</f>
        <v>1621.8999999999999</v>
      </c>
      <c r="K142" s="680">
        <f t="shared" ref="K142:K205" si="13">G142-I142</f>
        <v>0</v>
      </c>
      <c r="L142" s="680">
        <f t="shared" ref="L142:L205" si="14">H142-J142</f>
        <v>0</v>
      </c>
    </row>
    <row r="143" spans="1:12" s="64" customFormat="1" ht="31.5">
      <c r="A143" s="49" t="s">
        <v>330</v>
      </c>
      <c r="B143" s="67">
        <v>934</v>
      </c>
      <c r="C143" s="67" t="s">
        <v>152</v>
      </c>
      <c r="D143" s="67" t="s">
        <v>178</v>
      </c>
      <c r="E143" s="68" t="s">
        <v>849</v>
      </c>
      <c r="F143" s="67"/>
      <c r="G143" s="80">
        <f>G144+G145+G146</f>
        <v>241.8</v>
      </c>
      <c r="H143" s="80">
        <f>H144+H145+H146</f>
        <v>241.8</v>
      </c>
      <c r="I143" s="80">
        <f>I144+I145+I146</f>
        <v>241.8</v>
      </c>
      <c r="J143" s="80">
        <f>J144+J145+J146</f>
        <v>241.8</v>
      </c>
      <c r="K143" s="680">
        <f t="shared" si="13"/>
        <v>0</v>
      </c>
      <c r="L143" s="680">
        <f t="shared" si="14"/>
        <v>0</v>
      </c>
    </row>
    <row r="144" spans="1:12" s="64" customFormat="1">
      <c r="A144" s="48" t="s">
        <v>324</v>
      </c>
      <c r="B144" s="68">
        <v>934</v>
      </c>
      <c r="C144" s="68" t="s">
        <v>152</v>
      </c>
      <c r="D144" s="68" t="s">
        <v>178</v>
      </c>
      <c r="E144" s="68" t="s">
        <v>849</v>
      </c>
      <c r="F144" s="68" t="s">
        <v>311</v>
      </c>
      <c r="G144" s="81">
        <v>153.45622</v>
      </c>
      <c r="H144" s="81">
        <f>G144</f>
        <v>153.45622</v>
      </c>
      <c r="I144" s="81">
        <v>153.45622</v>
      </c>
      <c r="J144" s="81">
        <f>I144</f>
        <v>153.45622</v>
      </c>
      <c r="K144" s="680">
        <f t="shared" si="13"/>
        <v>0</v>
      </c>
      <c r="L144" s="680">
        <f t="shared" si="14"/>
        <v>0</v>
      </c>
    </row>
    <row r="145" spans="1:12" s="64" customFormat="1" ht="47.25">
      <c r="A145" s="164" t="s">
        <v>325</v>
      </c>
      <c r="B145" s="68">
        <v>934</v>
      </c>
      <c r="C145" s="68" t="s">
        <v>152</v>
      </c>
      <c r="D145" s="68" t="s">
        <v>178</v>
      </c>
      <c r="E145" s="68" t="s">
        <v>849</v>
      </c>
      <c r="F145" s="68" t="s">
        <v>326</v>
      </c>
      <c r="G145" s="81">
        <v>46.343780000000002</v>
      </c>
      <c r="H145" s="81">
        <f>G145</f>
        <v>46.343780000000002</v>
      </c>
      <c r="I145" s="81">
        <v>46.343780000000002</v>
      </c>
      <c r="J145" s="81">
        <f>I145</f>
        <v>46.343780000000002</v>
      </c>
      <c r="K145" s="680">
        <f t="shared" si="13"/>
        <v>0</v>
      </c>
      <c r="L145" s="680">
        <f t="shared" si="14"/>
        <v>0</v>
      </c>
    </row>
    <row r="146" spans="1:12" s="64" customFormat="1" ht="31.5">
      <c r="A146" s="123" t="s">
        <v>209</v>
      </c>
      <c r="B146" s="68">
        <v>934</v>
      </c>
      <c r="C146" s="68" t="s">
        <v>152</v>
      </c>
      <c r="D146" s="68" t="s">
        <v>178</v>
      </c>
      <c r="E146" s="68" t="s">
        <v>849</v>
      </c>
      <c r="F146" s="68" t="s">
        <v>312</v>
      </c>
      <c r="G146" s="81">
        <v>42</v>
      </c>
      <c r="H146" s="81">
        <f>G146</f>
        <v>42</v>
      </c>
      <c r="I146" s="81">
        <v>42</v>
      </c>
      <c r="J146" s="81">
        <f>I146</f>
        <v>42</v>
      </c>
      <c r="K146" s="680">
        <f t="shared" si="13"/>
        <v>0</v>
      </c>
      <c r="L146" s="680">
        <f t="shared" si="14"/>
        <v>0</v>
      </c>
    </row>
    <row r="147" spans="1:12" s="64" customFormat="1" ht="47.25">
      <c r="A147" s="49" t="s">
        <v>23</v>
      </c>
      <c r="B147" s="67">
        <v>934</v>
      </c>
      <c r="C147" s="67" t="s">
        <v>152</v>
      </c>
      <c r="D147" s="67" t="s">
        <v>178</v>
      </c>
      <c r="E147" s="68" t="s">
        <v>850</v>
      </c>
      <c r="F147" s="67"/>
      <c r="G147" s="80">
        <f>G148+G149+G150+G151</f>
        <v>1053.5</v>
      </c>
      <c r="H147" s="80">
        <f>H148+H149+H150+H151</f>
        <v>1053.5</v>
      </c>
      <c r="I147" s="80">
        <f>I148+I149+I150+I151</f>
        <v>1053.5</v>
      </c>
      <c r="J147" s="80">
        <f>J148+J149+J150+J151</f>
        <v>1053.5</v>
      </c>
      <c r="K147" s="680">
        <f t="shared" si="13"/>
        <v>0</v>
      </c>
      <c r="L147" s="680">
        <f t="shared" si="14"/>
        <v>0</v>
      </c>
    </row>
    <row r="148" spans="1:12" s="64" customFormat="1">
      <c r="A148" s="48" t="s">
        <v>324</v>
      </c>
      <c r="B148" s="68">
        <v>934</v>
      </c>
      <c r="C148" s="68" t="s">
        <v>152</v>
      </c>
      <c r="D148" s="68" t="s">
        <v>178</v>
      </c>
      <c r="E148" s="68" t="s">
        <v>850</v>
      </c>
      <c r="F148" s="68" t="s">
        <v>311</v>
      </c>
      <c r="G148" s="81">
        <f>615.6684+61.52074+60.98291</f>
        <v>738.17205000000001</v>
      </c>
      <c r="H148" s="81">
        <f>G148</f>
        <v>738.17205000000001</v>
      </c>
      <c r="I148" s="81">
        <f>615.6684+61.52074+60.98291</f>
        <v>738.17205000000001</v>
      </c>
      <c r="J148" s="81">
        <f>I148</f>
        <v>738.17205000000001</v>
      </c>
      <c r="K148" s="680">
        <f t="shared" si="13"/>
        <v>0</v>
      </c>
      <c r="L148" s="680">
        <f t="shared" si="14"/>
        <v>0</v>
      </c>
    </row>
    <row r="149" spans="1:12" s="64" customFormat="1" ht="31.5">
      <c r="A149" s="48" t="s">
        <v>6</v>
      </c>
      <c r="B149" s="68">
        <v>934</v>
      </c>
      <c r="C149" s="68" t="s">
        <v>152</v>
      </c>
      <c r="D149" s="68" t="s">
        <v>178</v>
      </c>
      <c r="E149" s="68" t="s">
        <v>850</v>
      </c>
      <c r="F149" s="68" t="s">
        <v>316</v>
      </c>
      <c r="G149" s="81">
        <v>8.23</v>
      </c>
      <c r="H149" s="81">
        <f>G149</f>
        <v>8.23</v>
      </c>
      <c r="I149" s="81">
        <v>8.23</v>
      </c>
      <c r="J149" s="81">
        <f>I149</f>
        <v>8.23</v>
      </c>
      <c r="K149" s="680">
        <f t="shared" si="13"/>
        <v>0</v>
      </c>
      <c r="L149" s="680">
        <f t="shared" si="14"/>
        <v>0</v>
      </c>
    </row>
    <row r="150" spans="1:12" s="64" customFormat="1" ht="47.25">
      <c r="A150" s="164" t="s">
        <v>325</v>
      </c>
      <c r="B150" s="68">
        <v>934</v>
      </c>
      <c r="C150" s="68" t="s">
        <v>152</v>
      </c>
      <c r="D150" s="68" t="s">
        <v>178</v>
      </c>
      <c r="E150" s="68" t="s">
        <v>850</v>
      </c>
      <c r="F150" s="68" t="s">
        <v>326</v>
      </c>
      <c r="G150" s="81">
        <f>185.9316+18.57926+18.41709</f>
        <v>222.92795000000001</v>
      </c>
      <c r="H150" s="81">
        <f>G150</f>
        <v>222.92795000000001</v>
      </c>
      <c r="I150" s="81">
        <f>185.9316+18.57926+18.41709</f>
        <v>222.92795000000001</v>
      </c>
      <c r="J150" s="81">
        <f>I150</f>
        <v>222.92795000000001</v>
      </c>
      <c r="K150" s="680">
        <f t="shared" si="13"/>
        <v>0</v>
      </c>
      <c r="L150" s="680">
        <f t="shared" si="14"/>
        <v>0</v>
      </c>
    </row>
    <row r="151" spans="1:12" s="64" customFormat="1" ht="31.5">
      <c r="A151" s="123" t="s">
        <v>209</v>
      </c>
      <c r="B151" s="68">
        <v>934</v>
      </c>
      <c r="C151" s="68" t="s">
        <v>152</v>
      </c>
      <c r="D151" s="68" t="s">
        <v>178</v>
      </c>
      <c r="E151" s="68" t="s">
        <v>850</v>
      </c>
      <c r="F151" s="68" t="s">
        <v>312</v>
      </c>
      <c r="G151" s="81">
        <v>84.17</v>
      </c>
      <c r="H151" s="81">
        <f>G151</f>
        <v>84.17</v>
      </c>
      <c r="I151" s="81">
        <v>84.17</v>
      </c>
      <c r="J151" s="81">
        <f>I151</f>
        <v>84.17</v>
      </c>
      <c r="K151" s="680">
        <f t="shared" si="13"/>
        <v>0</v>
      </c>
      <c r="L151" s="680">
        <f t="shared" si="14"/>
        <v>0</v>
      </c>
    </row>
    <row r="152" spans="1:12" s="64" customFormat="1" ht="31.5">
      <c r="A152" s="128" t="s">
        <v>27</v>
      </c>
      <c r="B152" s="129">
        <v>934</v>
      </c>
      <c r="C152" s="129" t="s">
        <v>152</v>
      </c>
      <c r="D152" s="129" t="s">
        <v>178</v>
      </c>
      <c r="E152" s="129" t="s">
        <v>859</v>
      </c>
      <c r="F152" s="129"/>
      <c r="G152" s="93">
        <f>G153+G154+G155</f>
        <v>326.59999999999997</v>
      </c>
      <c r="H152" s="93">
        <f>H153+H154+H155</f>
        <v>326.59999999999997</v>
      </c>
      <c r="I152" s="93">
        <f>I153+I154+I155</f>
        <v>326.59999999999997</v>
      </c>
      <c r="J152" s="93">
        <f>J153+J154+J155</f>
        <v>326.59999999999997</v>
      </c>
      <c r="K152" s="680">
        <f t="shared" si="13"/>
        <v>0</v>
      </c>
      <c r="L152" s="680">
        <f t="shared" si="14"/>
        <v>0</v>
      </c>
    </row>
    <row r="153" spans="1:12" s="64" customFormat="1">
      <c r="A153" s="48" t="s">
        <v>324</v>
      </c>
      <c r="B153" s="68">
        <v>934</v>
      </c>
      <c r="C153" s="68" t="s">
        <v>152</v>
      </c>
      <c r="D153" s="68" t="s">
        <v>178</v>
      </c>
      <c r="E153" s="129" t="s">
        <v>859</v>
      </c>
      <c r="F153" s="68" t="s">
        <v>311</v>
      </c>
      <c r="G153" s="81">
        <f>179.56239+17.97235+17.81856</f>
        <v>215.35329999999999</v>
      </c>
      <c r="H153" s="81">
        <f>G153</f>
        <v>215.35329999999999</v>
      </c>
      <c r="I153" s="81">
        <f>179.56239+17.97235+17.81856</f>
        <v>215.35329999999999</v>
      </c>
      <c r="J153" s="81">
        <f>I153</f>
        <v>215.35329999999999</v>
      </c>
      <c r="K153" s="680">
        <f t="shared" si="13"/>
        <v>0</v>
      </c>
      <c r="L153" s="680">
        <f t="shared" si="14"/>
        <v>0</v>
      </c>
    </row>
    <row r="154" spans="1:12" s="64" customFormat="1" ht="47.25">
      <c r="A154" s="164" t="s">
        <v>325</v>
      </c>
      <c r="B154" s="68">
        <v>934</v>
      </c>
      <c r="C154" s="68" t="s">
        <v>152</v>
      </c>
      <c r="D154" s="68" t="s">
        <v>178</v>
      </c>
      <c r="E154" s="129" t="s">
        <v>859</v>
      </c>
      <c r="F154" s="68" t="s">
        <v>326</v>
      </c>
      <c r="G154" s="81">
        <f>54.22761+5.42765+5.38144</f>
        <v>65.036699999999996</v>
      </c>
      <c r="H154" s="81">
        <f>G154</f>
        <v>65.036699999999996</v>
      </c>
      <c r="I154" s="81">
        <f>54.22761+5.42765+5.38144</f>
        <v>65.036699999999996</v>
      </c>
      <c r="J154" s="81">
        <f>I154</f>
        <v>65.036699999999996</v>
      </c>
      <c r="K154" s="680">
        <f t="shared" si="13"/>
        <v>0</v>
      </c>
      <c r="L154" s="680">
        <f t="shared" si="14"/>
        <v>0</v>
      </c>
    </row>
    <row r="155" spans="1:12" s="64" customFormat="1" ht="31.5">
      <c r="A155" s="123" t="s">
        <v>209</v>
      </c>
      <c r="B155" s="68">
        <v>934</v>
      </c>
      <c r="C155" s="68" t="s">
        <v>152</v>
      </c>
      <c r="D155" s="68" t="s">
        <v>178</v>
      </c>
      <c r="E155" s="129" t="s">
        <v>859</v>
      </c>
      <c r="F155" s="68" t="s">
        <v>312</v>
      </c>
      <c r="G155" s="81">
        <v>46.21</v>
      </c>
      <c r="H155" s="81">
        <f>G155</f>
        <v>46.21</v>
      </c>
      <c r="I155" s="81">
        <v>46.21</v>
      </c>
      <c r="J155" s="81">
        <f>I155</f>
        <v>46.21</v>
      </c>
      <c r="K155" s="680">
        <f t="shared" si="13"/>
        <v>0</v>
      </c>
      <c r="L155" s="680">
        <f t="shared" si="14"/>
        <v>0</v>
      </c>
    </row>
    <row r="156" spans="1:12" s="64" customFormat="1" ht="31.5">
      <c r="A156" s="157" t="s">
        <v>836</v>
      </c>
      <c r="B156" s="158">
        <v>934</v>
      </c>
      <c r="C156" s="149" t="s">
        <v>152</v>
      </c>
      <c r="D156" s="149" t="s">
        <v>178</v>
      </c>
      <c r="E156" s="155" t="s">
        <v>855</v>
      </c>
      <c r="F156" s="149"/>
      <c r="G156" s="150">
        <f>G158+G157</f>
        <v>56357.2</v>
      </c>
      <c r="H156" s="150">
        <f>H158</f>
        <v>16071.5</v>
      </c>
      <c r="I156" s="150">
        <f>I158+I157</f>
        <v>40135.699999999997</v>
      </c>
      <c r="J156" s="150">
        <f>J158</f>
        <v>0</v>
      </c>
      <c r="K156" s="680">
        <f>G156-I156</f>
        <v>16221.5</v>
      </c>
      <c r="L156" s="680">
        <f t="shared" si="14"/>
        <v>16071.5</v>
      </c>
    </row>
    <row r="157" spans="1:12" s="64" customFormat="1" ht="31.5">
      <c r="A157" s="123" t="s">
        <v>209</v>
      </c>
      <c r="B157" s="276">
        <v>934</v>
      </c>
      <c r="C157" s="168" t="s">
        <v>152</v>
      </c>
      <c r="D157" s="168" t="s">
        <v>178</v>
      </c>
      <c r="E157" s="172" t="s">
        <v>1033</v>
      </c>
      <c r="F157" s="168" t="s">
        <v>312</v>
      </c>
      <c r="G157" s="169">
        <v>150</v>
      </c>
      <c r="H157" s="150"/>
      <c r="I157" s="169"/>
      <c r="J157" s="150"/>
      <c r="K157" s="680">
        <f t="shared" si="13"/>
        <v>150</v>
      </c>
      <c r="L157" s="680">
        <f t="shared" si="14"/>
        <v>0</v>
      </c>
    </row>
    <row r="158" spans="1:12" s="64" customFormat="1" ht="31.5">
      <c r="A158" s="186" t="s">
        <v>694</v>
      </c>
      <c r="B158" s="275">
        <v>934</v>
      </c>
      <c r="C158" s="168" t="s">
        <v>152</v>
      </c>
      <c r="D158" s="168" t="s">
        <v>178</v>
      </c>
      <c r="E158" s="172" t="s">
        <v>856</v>
      </c>
      <c r="F158" s="168"/>
      <c r="G158" s="169">
        <f>G159+G161+G160+G163</f>
        <v>56207.199999999997</v>
      </c>
      <c r="H158" s="169">
        <f>H159+H161+H163</f>
        <v>16071.5</v>
      </c>
      <c r="I158" s="169">
        <f>I159+I161+I160+I163</f>
        <v>40135.699999999997</v>
      </c>
      <c r="J158" s="169">
        <f>J159+J161+J163</f>
        <v>0</v>
      </c>
      <c r="K158" s="680">
        <f t="shared" si="13"/>
        <v>16071.5</v>
      </c>
      <c r="L158" s="680">
        <f t="shared" si="14"/>
        <v>16071.5</v>
      </c>
    </row>
    <row r="159" spans="1:12" s="64" customFormat="1" ht="47.25">
      <c r="A159" s="48" t="s">
        <v>204</v>
      </c>
      <c r="B159" s="124">
        <v>934</v>
      </c>
      <c r="C159" s="68" t="s">
        <v>152</v>
      </c>
      <c r="D159" s="68" t="s">
        <v>178</v>
      </c>
      <c r="E159" s="172" t="s">
        <v>856</v>
      </c>
      <c r="F159" s="68" t="s">
        <v>319</v>
      </c>
      <c r="G159" s="81">
        <v>40135.699999999997</v>
      </c>
      <c r="H159" s="81">
        <v>0</v>
      </c>
      <c r="I159" s="81">
        <v>40135.699999999997</v>
      </c>
      <c r="J159" s="81">
        <v>0</v>
      </c>
      <c r="K159" s="680">
        <f t="shared" si="13"/>
        <v>0</v>
      </c>
      <c r="L159" s="680">
        <f t="shared" si="14"/>
        <v>0</v>
      </c>
    </row>
    <row r="160" spans="1:12" s="64" customFormat="1" hidden="1">
      <c r="A160" s="48" t="s">
        <v>205</v>
      </c>
      <c r="B160" s="124">
        <v>934</v>
      </c>
      <c r="C160" s="68" t="s">
        <v>152</v>
      </c>
      <c r="D160" s="68" t="s">
        <v>178</v>
      </c>
      <c r="E160" s="172" t="s">
        <v>856</v>
      </c>
      <c r="F160" s="68" t="s">
        <v>202</v>
      </c>
      <c r="G160" s="81"/>
      <c r="H160" s="81"/>
      <c r="I160" s="81"/>
      <c r="J160" s="81"/>
      <c r="K160" s="680">
        <f t="shared" si="13"/>
        <v>0</v>
      </c>
      <c r="L160" s="680">
        <f t="shared" si="14"/>
        <v>0</v>
      </c>
    </row>
    <row r="161" spans="1:12" s="64" customFormat="1" ht="63">
      <c r="A161" s="46" t="s">
        <v>570</v>
      </c>
      <c r="B161" s="124">
        <v>934</v>
      </c>
      <c r="C161" s="68" t="s">
        <v>152</v>
      </c>
      <c r="D161" s="68" t="s">
        <v>178</v>
      </c>
      <c r="E161" s="172" t="s">
        <v>878</v>
      </c>
      <c r="F161" s="68"/>
      <c r="G161" s="81">
        <f>G162</f>
        <v>16071.5</v>
      </c>
      <c r="H161" s="81">
        <f>H162</f>
        <v>16071.5</v>
      </c>
      <c r="I161" s="81">
        <f>I162</f>
        <v>0</v>
      </c>
      <c r="J161" s="81">
        <f>J162</f>
        <v>0</v>
      </c>
      <c r="K161" s="680">
        <f t="shared" si="13"/>
        <v>16071.5</v>
      </c>
      <c r="L161" s="680">
        <f t="shared" si="14"/>
        <v>16071.5</v>
      </c>
    </row>
    <row r="162" spans="1:12" s="64" customFormat="1">
      <c r="A162" s="48" t="s">
        <v>205</v>
      </c>
      <c r="B162" s="124">
        <v>934</v>
      </c>
      <c r="C162" s="68" t="s">
        <v>152</v>
      </c>
      <c r="D162" s="68" t="s">
        <v>178</v>
      </c>
      <c r="E162" s="172" t="s">
        <v>878</v>
      </c>
      <c r="F162" s="68" t="s">
        <v>202</v>
      </c>
      <c r="G162" s="81">
        <v>16071.5</v>
      </c>
      <c r="H162" s="81">
        <f>G162</f>
        <v>16071.5</v>
      </c>
      <c r="I162" s="81"/>
      <c r="J162" s="81">
        <f>I162</f>
        <v>0</v>
      </c>
      <c r="K162" s="680">
        <f t="shared" si="13"/>
        <v>16071.5</v>
      </c>
      <c r="L162" s="680">
        <f t="shared" si="14"/>
        <v>16071.5</v>
      </c>
    </row>
    <row r="163" spans="1:12" s="64" customFormat="1" ht="31.5" hidden="1">
      <c r="A163" s="164" t="s">
        <v>1069</v>
      </c>
      <c r="B163" s="70">
        <v>934</v>
      </c>
      <c r="C163" s="68" t="s">
        <v>152</v>
      </c>
      <c r="D163" s="68" t="s">
        <v>161</v>
      </c>
      <c r="E163" s="68" t="s">
        <v>1070</v>
      </c>
      <c r="F163" s="68"/>
      <c r="G163" s="81">
        <f>G164</f>
        <v>0</v>
      </c>
      <c r="H163" s="81">
        <f>H164</f>
        <v>0</v>
      </c>
      <c r="I163" s="81">
        <f>I164</f>
        <v>0</v>
      </c>
      <c r="J163" s="81">
        <f>J164</f>
        <v>0</v>
      </c>
      <c r="K163" s="680">
        <f t="shared" si="13"/>
        <v>0</v>
      </c>
      <c r="L163" s="680">
        <f t="shared" si="14"/>
        <v>0</v>
      </c>
    </row>
    <row r="164" spans="1:12" s="64" customFormat="1" hidden="1">
      <c r="A164" s="48" t="s">
        <v>324</v>
      </c>
      <c r="B164" s="70">
        <v>934</v>
      </c>
      <c r="C164" s="68" t="s">
        <v>152</v>
      </c>
      <c r="D164" s="68" t="s">
        <v>161</v>
      </c>
      <c r="E164" s="68" t="s">
        <v>1070</v>
      </c>
      <c r="F164" s="68" t="s">
        <v>202</v>
      </c>
      <c r="G164" s="81"/>
      <c r="H164" s="81">
        <f>G164</f>
        <v>0</v>
      </c>
      <c r="I164" s="81"/>
      <c r="J164" s="81">
        <f>I164</f>
        <v>0</v>
      </c>
      <c r="K164" s="680">
        <f t="shared" si="13"/>
        <v>0</v>
      </c>
      <c r="L164" s="680">
        <f t="shared" si="14"/>
        <v>0</v>
      </c>
    </row>
    <row r="165" spans="1:12" s="64" customFormat="1" ht="31.5" hidden="1">
      <c r="A165" s="161" t="s">
        <v>832</v>
      </c>
      <c r="B165" s="160">
        <v>934</v>
      </c>
      <c r="C165" s="153" t="s">
        <v>152</v>
      </c>
      <c r="D165" s="153" t="s">
        <v>178</v>
      </c>
      <c r="E165" s="153" t="s">
        <v>1050</v>
      </c>
      <c r="F165" s="153"/>
      <c r="G165" s="162">
        <f>G166+G168</f>
        <v>0</v>
      </c>
      <c r="H165" s="81">
        <f t="shared" ref="H165:J166" si="15">H166</f>
        <v>0</v>
      </c>
      <c r="I165" s="162">
        <f>I166+I168</f>
        <v>0</v>
      </c>
      <c r="J165" s="81">
        <f t="shared" si="15"/>
        <v>0</v>
      </c>
      <c r="K165" s="680">
        <f t="shared" si="13"/>
        <v>0</v>
      </c>
      <c r="L165" s="680">
        <f t="shared" si="14"/>
        <v>0</v>
      </c>
    </row>
    <row r="166" spans="1:12" s="64" customFormat="1" ht="31.5" hidden="1">
      <c r="A166" s="48" t="s">
        <v>1049</v>
      </c>
      <c r="B166" s="124">
        <v>934</v>
      </c>
      <c r="C166" s="120" t="s">
        <v>152</v>
      </c>
      <c r="D166" s="120" t="s">
        <v>178</v>
      </c>
      <c r="E166" s="172" t="s">
        <v>1050</v>
      </c>
      <c r="F166" s="120"/>
      <c r="G166" s="119">
        <f t="shared" ref="G166:I166" si="16">G167</f>
        <v>0</v>
      </c>
      <c r="H166" s="81">
        <f t="shared" si="15"/>
        <v>0</v>
      </c>
      <c r="I166" s="119">
        <f t="shared" si="16"/>
        <v>0</v>
      </c>
      <c r="J166" s="81">
        <f t="shared" si="15"/>
        <v>0</v>
      </c>
      <c r="K166" s="680">
        <f t="shared" si="13"/>
        <v>0</v>
      </c>
      <c r="L166" s="680">
        <f t="shared" si="14"/>
        <v>0</v>
      </c>
    </row>
    <row r="167" spans="1:12" s="64" customFormat="1" hidden="1">
      <c r="A167" s="48" t="s">
        <v>205</v>
      </c>
      <c r="B167" s="124">
        <v>934</v>
      </c>
      <c r="C167" s="120" t="s">
        <v>152</v>
      </c>
      <c r="D167" s="120" t="s">
        <v>178</v>
      </c>
      <c r="E167" s="172" t="s">
        <v>1050</v>
      </c>
      <c r="F167" s="120" t="s">
        <v>202</v>
      </c>
      <c r="G167" s="119"/>
      <c r="H167" s="81">
        <f>G167</f>
        <v>0</v>
      </c>
      <c r="I167" s="119"/>
      <c r="J167" s="81">
        <f>I167</f>
        <v>0</v>
      </c>
      <c r="K167" s="680">
        <f t="shared" si="13"/>
        <v>0</v>
      </c>
      <c r="L167" s="680">
        <f t="shared" si="14"/>
        <v>0</v>
      </c>
    </row>
    <row r="168" spans="1:12" s="64" customFormat="1" ht="47.25" hidden="1">
      <c r="A168" s="48" t="s">
        <v>1071</v>
      </c>
      <c r="B168" s="124">
        <v>934</v>
      </c>
      <c r="C168" s="120" t="s">
        <v>152</v>
      </c>
      <c r="D168" s="120" t="s">
        <v>178</v>
      </c>
      <c r="E168" s="172" t="s">
        <v>1050</v>
      </c>
      <c r="F168" s="120"/>
      <c r="G168" s="119">
        <f>G169</f>
        <v>0</v>
      </c>
      <c r="H168" s="81"/>
      <c r="I168" s="119">
        <f>I169</f>
        <v>0</v>
      </c>
      <c r="J168" s="81"/>
      <c r="K168" s="680">
        <f t="shared" si="13"/>
        <v>0</v>
      </c>
      <c r="L168" s="680">
        <f t="shared" si="14"/>
        <v>0</v>
      </c>
    </row>
    <row r="169" spans="1:12" s="64" customFormat="1" hidden="1">
      <c r="A169" s="48" t="s">
        <v>205</v>
      </c>
      <c r="B169" s="124">
        <v>934</v>
      </c>
      <c r="C169" s="120" t="s">
        <v>152</v>
      </c>
      <c r="D169" s="120" t="s">
        <v>178</v>
      </c>
      <c r="E169" s="172" t="s">
        <v>1050</v>
      </c>
      <c r="F169" s="120" t="s">
        <v>202</v>
      </c>
      <c r="G169" s="119"/>
      <c r="H169" s="81"/>
      <c r="I169" s="119"/>
      <c r="J169" s="81"/>
      <c r="K169" s="680">
        <f t="shared" si="13"/>
        <v>0</v>
      </c>
      <c r="L169" s="680">
        <f t="shared" si="14"/>
        <v>0</v>
      </c>
    </row>
    <row r="170" spans="1:12" s="64" customFormat="1" ht="31.5">
      <c r="A170" s="52" t="s">
        <v>171</v>
      </c>
      <c r="B170" s="74">
        <v>934</v>
      </c>
      <c r="C170" s="75" t="s">
        <v>155</v>
      </c>
      <c r="D170" s="75"/>
      <c r="E170" s="75"/>
      <c r="F170" s="75"/>
      <c r="G170" s="76">
        <f>G171</f>
        <v>442</v>
      </c>
      <c r="H170" s="76">
        <f>H171</f>
        <v>0</v>
      </c>
      <c r="I170" s="76">
        <f>I171</f>
        <v>442</v>
      </c>
      <c r="J170" s="76">
        <f>J171</f>
        <v>0</v>
      </c>
      <c r="K170" s="680">
        <f t="shared" si="13"/>
        <v>0</v>
      </c>
      <c r="L170" s="680">
        <f t="shared" si="14"/>
        <v>0</v>
      </c>
    </row>
    <row r="171" spans="1:12" s="63" customFormat="1" ht="31.5">
      <c r="A171" s="51" t="s">
        <v>172</v>
      </c>
      <c r="B171" s="77">
        <v>934</v>
      </c>
      <c r="C171" s="78" t="s">
        <v>155</v>
      </c>
      <c r="D171" s="78" t="s">
        <v>156</v>
      </c>
      <c r="E171" s="78"/>
      <c r="F171" s="78"/>
      <c r="G171" s="79">
        <f>G172+G175</f>
        <v>442</v>
      </c>
      <c r="H171" s="79">
        <f>H172+H175</f>
        <v>0</v>
      </c>
      <c r="I171" s="79">
        <f>I172+I175</f>
        <v>442</v>
      </c>
      <c r="J171" s="79">
        <f>J172+J175</f>
        <v>0</v>
      </c>
      <c r="K171" s="680">
        <f t="shared" si="13"/>
        <v>0</v>
      </c>
      <c r="L171" s="680">
        <f t="shared" si="14"/>
        <v>0</v>
      </c>
    </row>
    <row r="172" spans="1:12" s="63" customFormat="1" ht="33" customHeight="1">
      <c r="A172" s="142" t="s">
        <v>1124</v>
      </c>
      <c r="B172" s="143">
        <v>934</v>
      </c>
      <c r="C172" s="144" t="s">
        <v>155</v>
      </c>
      <c r="D172" s="144" t="s">
        <v>156</v>
      </c>
      <c r="E172" s="144" t="s">
        <v>619</v>
      </c>
      <c r="F172" s="144"/>
      <c r="G172" s="146">
        <f t="shared" ref="G172:J173" si="17">G173</f>
        <v>292</v>
      </c>
      <c r="H172" s="146">
        <f t="shared" si="17"/>
        <v>0</v>
      </c>
      <c r="I172" s="146">
        <f t="shared" si="17"/>
        <v>292</v>
      </c>
      <c r="J172" s="146">
        <f t="shared" si="17"/>
        <v>0</v>
      </c>
      <c r="K172" s="680">
        <f t="shared" si="13"/>
        <v>0</v>
      </c>
      <c r="L172" s="680">
        <f t="shared" si="14"/>
        <v>0</v>
      </c>
    </row>
    <row r="173" spans="1:12" s="63" customFormat="1" ht="31.5">
      <c r="A173" s="142" t="s">
        <v>640</v>
      </c>
      <c r="B173" s="143">
        <v>934</v>
      </c>
      <c r="C173" s="144" t="s">
        <v>155</v>
      </c>
      <c r="D173" s="144" t="s">
        <v>156</v>
      </c>
      <c r="E173" s="144" t="s">
        <v>387</v>
      </c>
      <c r="F173" s="144"/>
      <c r="G173" s="146">
        <f t="shared" si="17"/>
        <v>292</v>
      </c>
      <c r="H173" s="146">
        <f t="shared" si="17"/>
        <v>0</v>
      </c>
      <c r="I173" s="146">
        <f t="shared" si="17"/>
        <v>292</v>
      </c>
      <c r="J173" s="146">
        <f t="shared" si="17"/>
        <v>0</v>
      </c>
      <c r="K173" s="680">
        <f t="shared" si="13"/>
        <v>0</v>
      </c>
      <c r="L173" s="680">
        <f t="shared" si="14"/>
        <v>0</v>
      </c>
    </row>
    <row r="174" spans="1:12" ht="31.5">
      <c r="A174" s="123" t="s">
        <v>209</v>
      </c>
      <c r="B174" s="70">
        <v>934</v>
      </c>
      <c r="C174" s="67" t="s">
        <v>155</v>
      </c>
      <c r="D174" s="67" t="s">
        <v>156</v>
      </c>
      <c r="E174" s="120" t="s">
        <v>387</v>
      </c>
      <c r="F174" s="68" t="s">
        <v>312</v>
      </c>
      <c r="G174" s="81">
        <v>292</v>
      </c>
      <c r="H174" s="81">
        <v>0</v>
      </c>
      <c r="I174" s="81">
        <v>292</v>
      </c>
      <c r="J174" s="81">
        <v>0</v>
      </c>
      <c r="K174" s="680">
        <f t="shared" si="13"/>
        <v>0</v>
      </c>
      <c r="L174" s="680">
        <f t="shared" si="14"/>
        <v>0</v>
      </c>
    </row>
    <row r="175" spans="1:12" ht="29.25" customHeight="1">
      <c r="A175" s="141" t="s">
        <v>339</v>
      </c>
      <c r="B175" s="70">
        <v>934</v>
      </c>
      <c r="C175" s="67" t="s">
        <v>155</v>
      </c>
      <c r="D175" s="67" t="s">
        <v>156</v>
      </c>
      <c r="E175" s="68" t="s">
        <v>388</v>
      </c>
      <c r="F175" s="188"/>
      <c r="G175" s="197">
        <f>G176+G177</f>
        <v>150</v>
      </c>
      <c r="H175" s="81">
        <v>0</v>
      </c>
      <c r="I175" s="197">
        <f>I176+I177</f>
        <v>150</v>
      </c>
      <c r="J175" s="81">
        <v>0</v>
      </c>
      <c r="K175" s="680">
        <f t="shared" si="13"/>
        <v>0</v>
      </c>
      <c r="L175" s="680">
        <f t="shared" si="14"/>
        <v>0</v>
      </c>
    </row>
    <row r="176" spans="1:12" ht="31.5">
      <c r="A176" s="123" t="s">
        <v>209</v>
      </c>
      <c r="B176" s="70">
        <v>934</v>
      </c>
      <c r="C176" s="67" t="s">
        <v>155</v>
      </c>
      <c r="D176" s="67" t="s">
        <v>156</v>
      </c>
      <c r="E176" s="68" t="s">
        <v>388</v>
      </c>
      <c r="F176" s="68" t="s">
        <v>312</v>
      </c>
      <c r="G176" s="81">
        <v>100</v>
      </c>
      <c r="H176" s="81">
        <v>0</v>
      </c>
      <c r="I176" s="81">
        <v>100</v>
      </c>
      <c r="J176" s="81">
        <v>0</v>
      </c>
      <c r="K176" s="680">
        <f t="shared" si="13"/>
        <v>0</v>
      </c>
      <c r="L176" s="680">
        <f t="shared" si="14"/>
        <v>0</v>
      </c>
    </row>
    <row r="177" spans="1:12">
      <c r="A177" s="48" t="s">
        <v>130</v>
      </c>
      <c r="B177" s="70">
        <v>934</v>
      </c>
      <c r="C177" s="67" t="s">
        <v>155</v>
      </c>
      <c r="D177" s="67" t="s">
        <v>156</v>
      </c>
      <c r="E177" s="68" t="s">
        <v>388</v>
      </c>
      <c r="F177" s="68" t="s">
        <v>746</v>
      </c>
      <c r="G177" s="81">
        <v>50</v>
      </c>
      <c r="H177" s="81">
        <v>0</v>
      </c>
      <c r="I177" s="81">
        <v>50</v>
      </c>
      <c r="J177" s="81">
        <v>0</v>
      </c>
      <c r="K177" s="680">
        <f t="shared" si="13"/>
        <v>0</v>
      </c>
      <c r="L177" s="680">
        <f t="shared" si="14"/>
        <v>0</v>
      </c>
    </row>
    <row r="178" spans="1:12" s="64" customFormat="1">
      <c r="A178" s="52" t="s">
        <v>322</v>
      </c>
      <c r="B178" s="74">
        <v>934</v>
      </c>
      <c r="C178" s="75" t="s">
        <v>161</v>
      </c>
      <c r="D178" s="75"/>
      <c r="E178" s="75"/>
      <c r="F178" s="75"/>
      <c r="G178" s="76">
        <f>G179+G201</f>
        <v>5107.76836</v>
      </c>
      <c r="H178" s="76">
        <f>H179+H201</f>
        <v>3656.9999999999995</v>
      </c>
      <c r="I178" s="76">
        <f>I179+I201</f>
        <v>5107.76836</v>
      </c>
      <c r="J178" s="76">
        <f>J179+J201</f>
        <v>3656.9999999999995</v>
      </c>
      <c r="K178" s="680">
        <f t="shared" si="13"/>
        <v>0</v>
      </c>
      <c r="L178" s="680">
        <f t="shared" si="14"/>
        <v>0</v>
      </c>
    </row>
    <row r="179" spans="1:12" s="63" customFormat="1">
      <c r="A179" s="51" t="s">
        <v>169</v>
      </c>
      <c r="B179" s="78" t="s">
        <v>140</v>
      </c>
      <c r="C179" s="78" t="s">
        <v>161</v>
      </c>
      <c r="D179" s="78" t="s">
        <v>162</v>
      </c>
      <c r="E179" s="78"/>
      <c r="F179" s="78"/>
      <c r="G179" s="79">
        <f>G180+G192</f>
        <v>3453.2</v>
      </c>
      <c r="H179" s="79">
        <f>H180+H192</f>
        <v>3253.1999999999994</v>
      </c>
      <c r="I179" s="79">
        <f>I180+I192</f>
        <v>3453.2</v>
      </c>
      <c r="J179" s="79">
        <f>J180+J192</f>
        <v>3253.1999999999994</v>
      </c>
      <c r="K179" s="680">
        <f t="shared" si="13"/>
        <v>0</v>
      </c>
      <c r="L179" s="680">
        <f t="shared" si="14"/>
        <v>0</v>
      </c>
    </row>
    <row r="180" spans="1:12" s="63" customFormat="1" ht="47.25">
      <c r="A180" s="496" t="s">
        <v>1112</v>
      </c>
      <c r="B180" s="160">
        <v>934</v>
      </c>
      <c r="C180" s="153" t="s">
        <v>161</v>
      </c>
      <c r="D180" s="153" t="s">
        <v>162</v>
      </c>
      <c r="E180" s="153" t="s">
        <v>619</v>
      </c>
      <c r="F180" s="152"/>
      <c r="G180" s="162">
        <f>G181</f>
        <v>2931.4999999999995</v>
      </c>
      <c r="H180" s="162">
        <f>H181</f>
        <v>2931.4999999999995</v>
      </c>
      <c r="I180" s="162">
        <f>I181</f>
        <v>2931.4999999999995</v>
      </c>
      <c r="J180" s="162">
        <f>J181</f>
        <v>2931.4999999999995</v>
      </c>
      <c r="K180" s="680">
        <f t="shared" si="13"/>
        <v>0</v>
      </c>
      <c r="L180" s="680">
        <f t="shared" si="14"/>
        <v>0</v>
      </c>
    </row>
    <row r="181" spans="1:12" s="63" customFormat="1" ht="25.5">
      <c r="A181" s="607" t="s">
        <v>747</v>
      </c>
      <c r="B181" s="160">
        <v>934</v>
      </c>
      <c r="C181" s="153" t="s">
        <v>161</v>
      </c>
      <c r="D181" s="153" t="s">
        <v>162</v>
      </c>
      <c r="E181" s="153" t="s">
        <v>825</v>
      </c>
      <c r="F181" s="152"/>
      <c r="G181" s="162">
        <f>G182+G184+G187+G189</f>
        <v>2931.4999999999995</v>
      </c>
      <c r="H181" s="162">
        <f>H182+H184+H187+H189</f>
        <v>2931.4999999999995</v>
      </c>
      <c r="I181" s="162">
        <f>I182+I184+I187+I189</f>
        <v>2931.4999999999995</v>
      </c>
      <c r="J181" s="162">
        <f>J182+J184+J187+J189</f>
        <v>2931.4999999999995</v>
      </c>
      <c r="K181" s="680">
        <f t="shared" si="13"/>
        <v>0</v>
      </c>
      <c r="L181" s="680">
        <f t="shared" si="14"/>
        <v>0</v>
      </c>
    </row>
    <row r="182" spans="1:12" ht="50.25" customHeight="1">
      <c r="A182" s="46" t="s">
        <v>403</v>
      </c>
      <c r="B182" s="69">
        <v>934</v>
      </c>
      <c r="C182" s="67" t="s">
        <v>161</v>
      </c>
      <c r="D182" s="67" t="s">
        <v>162</v>
      </c>
      <c r="E182" s="129" t="s">
        <v>808</v>
      </c>
      <c r="F182" s="83"/>
      <c r="G182" s="80">
        <f>G183</f>
        <v>2611.1999999999998</v>
      </c>
      <c r="H182" s="80">
        <f>H183</f>
        <v>2611.1999999999998</v>
      </c>
      <c r="I182" s="80">
        <f>I183</f>
        <v>2611.1999999999998</v>
      </c>
      <c r="J182" s="80">
        <f>J183</f>
        <v>2611.1999999999998</v>
      </c>
      <c r="K182" s="680">
        <f t="shared" si="13"/>
        <v>0</v>
      </c>
      <c r="L182" s="680">
        <f t="shared" si="14"/>
        <v>0</v>
      </c>
    </row>
    <row r="183" spans="1:12" ht="41.25" customHeight="1">
      <c r="A183" s="123" t="s">
        <v>209</v>
      </c>
      <c r="B183" s="70">
        <v>934</v>
      </c>
      <c r="C183" s="68" t="s">
        <v>161</v>
      </c>
      <c r="D183" s="68" t="s">
        <v>162</v>
      </c>
      <c r="E183" s="120" t="s">
        <v>808</v>
      </c>
      <c r="F183" s="82">
        <v>244</v>
      </c>
      <c r="G183" s="81">
        <v>2611.1999999999998</v>
      </c>
      <c r="H183" s="81">
        <f>G183</f>
        <v>2611.1999999999998</v>
      </c>
      <c r="I183" s="81">
        <v>2611.1999999999998</v>
      </c>
      <c r="J183" s="81">
        <f>I183</f>
        <v>2611.1999999999998</v>
      </c>
      <c r="K183" s="680">
        <f t="shared" si="13"/>
        <v>0</v>
      </c>
      <c r="L183" s="680">
        <f t="shared" si="14"/>
        <v>0</v>
      </c>
    </row>
    <row r="184" spans="1:12" ht="47.25" customHeight="1">
      <c r="A184" s="46" t="s">
        <v>409</v>
      </c>
      <c r="B184" s="69">
        <v>934</v>
      </c>
      <c r="C184" s="67" t="s">
        <v>161</v>
      </c>
      <c r="D184" s="67" t="s">
        <v>162</v>
      </c>
      <c r="E184" s="120" t="s">
        <v>809</v>
      </c>
      <c r="F184" s="83"/>
      <c r="G184" s="80">
        <f>G185+G186</f>
        <v>39.200000000000003</v>
      </c>
      <c r="H184" s="80">
        <f>H185+H186</f>
        <v>39.200000000000003</v>
      </c>
      <c r="I184" s="80">
        <f>I185+I186</f>
        <v>39.200000000000003</v>
      </c>
      <c r="J184" s="80">
        <f>J185+J186</f>
        <v>39.200000000000003</v>
      </c>
      <c r="K184" s="680">
        <f t="shared" si="13"/>
        <v>0</v>
      </c>
      <c r="L184" s="680">
        <f t="shared" si="14"/>
        <v>0</v>
      </c>
    </row>
    <row r="185" spans="1:12">
      <c r="A185" s="48" t="s">
        <v>324</v>
      </c>
      <c r="B185" s="68">
        <v>934</v>
      </c>
      <c r="C185" s="68" t="s">
        <v>161</v>
      </c>
      <c r="D185" s="68" t="s">
        <v>162</v>
      </c>
      <c r="E185" s="120" t="s">
        <v>809</v>
      </c>
      <c r="F185" s="68" t="s">
        <v>311</v>
      </c>
      <c r="G185" s="81">
        <v>30.107530000000001</v>
      </c>
      <c r="H185" s="81">
        <f>G185</f>
        <v>30.107530000000001</v>
      </c>
      <c r="I185" s="81">
        <v>30.107530000000001</v>
      </c>
      <c r="J185" s="81">
        <f>I185</f>
        <v>30.107530000000001</v>
      </c>
      <c r="K185" s="680">
        <f t="shared" si="13"/>
        <v>0</v>
      </c>
      <c r="L185" s="680">
        <f t="shared" si="14"/>
        <v>0</v>
      </c>
    </row>
    <row r="186" spans="1:12" ht="47.25">
      <c r="A186" s="164" t="s">
        <v>325</v>
      </c>
      <c r="B186" s="68">
        <v>934</v>
      </c>
      <c r="C186" s="68" t="s">
        <v>161</v>
      </c>
      <c r="D186" s="68" t="s">
        <v>162</v>
      </c>
      <c r="E186" s="120" t="s">
        <v>810</v>
      </c>
      <c r="F186" s="68" t="s">
        <v>326</v>
      </c>
      <c r="G186" s="81">
        <v>9.0924700000000005</v>
      </c>
      <c r="H186" s="81">
        <f>G186</f>
        <v>9.0924700000000005</v>
      </c>
      <c r="I186" s="81">
        <v>9.0924700000000005</v>
      </c>
      <c r="J186" s="81">
        <f>I186</f>
        <v>9.0924700000000005</v>
      </c>
      <c r="K186" s="680">
        <f t="shared" si="13"/>
        <v>0</v>
      </c>
      <c r="L186" s="680">
        <f t="shared" si="14"/>
        <v>0</v>
      </c>
    </row>
    <row r="187" spans="1:12" ht="47.25">
      <c r="A187" s="204" t="s">
        <v>1097</v>
      </c>
      <c r="B187" s="124">
        <v>934</v>
      </c>
      <c r="C187" s="120" t="s">
        <v>161</v>
      </c>
      <c r="D187" s="120" t="s">
        <v>162</v>
      </c>
      <c r="E187" s="120" t="s">
        <v>811</v>
      </c>
      <c r="F187" s="124"/>
      <c r="G187" s="119">
        <f>G188</f>
        <v>244.4</v>
      </c>
      <c r="H187" s="119">
        <f>H188</f>
        <v>244.4</v>
      </c>
      <c r="I187" s="119">
        <f>I188</f>
        <v>244.4</v>
      </c>
      <c r="J187" s="119">
        <f>J188</f>
        <v>244.4</v>
      </c>
      <c r="K187" s="680">
        <f t="shared" si="13"/>
        <v>0</v>
      </c>
      <c r="L187" s="680">
        <f t="shared" si="14"/>
        <v>0</v>
      </c>
    </row>
    <row r="188" spans="1:12" ht="31.5">
      <c r="A188" s="123" t="s">
        <v>209</v>
      </c>
      <c r="B188" s="124">
        <v>934</v>
      </c>
      <c r="C188" s="120" t="s">
        <v>161</v>
      </c>
      <c r="D188" s="120" t="s">
        <v>162</v>
      </c>
      <c r="E188" s="120" t="s">
        <v>811</v>
      </c>
      <c r="F188" s="124">
        <v>244</v>
      </c>
      <c r="G188" s="119">
        <v>244.4</v>
      </c>
      <c r="H188" s="119">
        <f>G188</f>
        <v>244.4</v>
      </c>
      <c r="I188" s="119">
        <v>244.4</v>
      </c>
      <c r="J188" s="119">
        <f>I188</f>
        <v>244.4</v>
      </c>
      <c r="K188" s="680">
        <f t="shared" si="13"/>
        <v>0</v>
      </c>
      <c r="L188" s="680">
        <f t="shared" si="14"/>
        <v>0</v>
      </c>
    </row>
    <row r="189" spans="1:12" ht="47.25">
      <c r="A189" s="204" t="s">
        <v>1098</v>
      </c>
      <c r="B189" s="124">
        <v>934</v>
      </c>
      <c r="C189" s="120" t="s">
        <v>161</v>
      </c>
      <c r="D189" s="120" t="s">
        <v>162</v>
      </c>
      <c r="E189" s="120" t="s">
        <v>812</v>
      </c>
      <c r="F189" s="124"/>
      <c r="G189" s="119">
        <f>G190+G191</f>
        <v>36.700000000000003</v>
      </c>
      <c r="H189" s="119">
        <f>H190+H191</f>
        <v>36.700000000000003</v>
      </c>
      <c r="I189" s="119">
        <f>I190+I191</f>
        <v>36.700000000000003</v>
      </c>
      <c r="J189" s="119">
        <f>J190+J191</f>
        <v>36.700000000000003</v>
      </c>
      <c r="K189" s="680">
        <f t="shared" si="13"/>
        <v>0</v>
      </c>
      <c r="L189" s="680">
        <f t="shared" si="14"/>
        <v>0</v>
      </c>
    </row>
    <row r="190" spans="1:12">
      <c r="A190" s="48" t="s">
        <v>324</v>
      </c>
      <c r="B190" s="124">
        <v>934</v>
      </c>
      <c r="C190" s="120" t="s">
        <v>161</v>
      </c>
      <c r="D190" s="120" t="s">
        <v>162</v>
      </c>
      <c r="E190" s="120" t="s">
        <v>812</v>
      </c>
      <c r="F190" s="124">
        <v>121</v>
      </c>
      <c r="G190" s="119">
        <v>28.1874</v>
      </c>
      <c r="H190" s="119">
        <f>G190</f>
        <v>28.1874</v>
      </c>
      <c r="I190" s="119">
        <v>28.1874</v>
      </c>
      <c r="J190" s="119">
        <f>I190</f>
        <v>28.1874</v>
      </c>
      <c r="K190" s="680">
        <f t="shared" si="13"/>
        <v>0</v>
      </c>
      <c r="L190" s="680">
        <f t="shared" si="14"/>
        <v>0</v>
      </c>
    </row>
    <row r="191" spans="1:12" ht="47.25">
      <c r="A191" s="164" t="s">
        <v>325</v>
      </c>
      <c r="B191" s="124">
        <v>934</v>
      </c>
      <c r="C191" s="120" t="s">
        <v>161</v>
      </c>
      <c r="D191" s="120" t="s">
        <v>162</v>
      </c>
      <c r="E191" s="120" t="s">
        <v>812</v>
      </c>
      <c r="F191" s="124">
        <v>129</v>
      </c>
      <c r="G191" s="119">
        <v>8.5126000000000008</v>
      </c>
      <c r="H191" s="119">
        <f>G191</f>
        <v>8.5126000000000008</v>
      </c>
      <c r="I191" s="119">
        <v>8.5126000000000008</v>
      </c>
      <c r="J191" s="119">
        <f>I191</f>
        <v>8.5126000000000008</v>
      </c>
      <c r="K191" s="680">
        <f t="shared" si="13"/>
        <v>0</v>
      </c>
      <c r="L191" s="680">
        <f t="shared" si="14"/>
        <v>0</v>
      </c>
    </row>
    <row r="192" spans="1:12" s="63" customFormat="1" ht="49.5" customHeight="1">
      <c r="A192" s="156" t="s">
        <v>943</v>
      </c>
      <c r="B192" s="143">
        <v>934</v>
      </c>
      <c r="C192" s="144" t="s">
        <v>161</v>
      </c>
      <c r="D192" s="144" t="s">
        <v>162</v>
      </c>
      <c r="E192" s="144" t="s">
        <v>414</v>
      </c>
      <c r="F192" s="143"/>
      <c r="G192" s="146">
        <f t="shared" ref="G192:J192" si="18">G193</f>
        <v>521.70000000000005</v>
      </c>
      <c r="H192" s="146">
        <f t="shared" si="18"/>
        <v>321.7</v>
      </c>
      <c r="I192" s="146">
        <f t="shared" si="18"/>
        <v>521.70000000000005</v>
      </c>
      <c r="J192" s="146">
        <f t="shared" si="18"/>
        <v>321.7</v>
      </c>
      <c r="K192" s="680">
        <f t="shared" si="13"/>
        <v>0</v>
      </c>
      <c r="L192" s="680">
        <f t="shared" si="14"/>
        <v>0</v>
      </c>
    </row>
    <row r="193" spans="1:12" s="63" customFormat="1" ht="37.5" customHeight="1">
      <c r="A193" s="156" t="s">
        <v>641</v>
      </c>
      <c r="B193" s="143">
        <v>934</v>
      </c>
      <c r="C193" s="144" t="s">
        <v>161</v>
      </c>
      <c r="D193" s="144" t="s">
        <v>162</v>
      </c>
      <c r="E193" s="144" t="s">
        <v>620</v>
      </c>
      <c r="F193" s="143"/>
      <c r="G193" s="146">
        <f>G194+G196+G198</f>
        <v>521.70000000000005</v>
      </c>
      <c r="H193" s="146">
        <f>H194+H196+H198</f>
        <v>321.7</v>
      </c>
      <c r="I193" s="146">
        <f>I194+I196+I198</f>
        <v>521.70000000000005</v>
      </c>
      <c r="J193" s="146">
        <f>J194+J196+J198</f>
        <v>321.7</v>
      </c>
      <c r="K193" s="680">
        <f t="shared" si="13"/>
        <v>0</v>
      </c>
      <c r="L193" s="680">
        <f t="shared" si="14"/>
        <v>0</v>
      </c>
    </row>
    <row r="194" spans="1:12" s="170" customFormat="1" ht="37.5" customHeight="1">
      <c r="A194" s="730" t="s">
        <v>992</v>
      </c>
      <c r="B194" s="70">
        <v>934</v>
      </c>
      <c r="C194" s="68" t="s">
        <v>161</v>
      </c>
      <c r="D194" s="68" t="s">
        <v>162</v>
      </c>
      <c r="E194" s="120" t="s">
        <v>389</v>
      </c>
      <c r="F194" s="275"/>
      <c r="G194" s="169">
        <f>G195</f>
        <v>200</v>
      </c>
      <c r="H194" s="169">
        <v>0</v>
      </c>
      <c r="I194" s="169">
        <f>I195</f>
        <v>200</v>
      </c>
      <c r="J194" s="169">
        <v>0</v>
      </c>
      <c r="K194" s="680">
        <f t="shared" si="13"/>
        <v>0</v>
      </c>
      <c r="L194" s="680">
        <f t="shared" si="14"/>
        <v>0</v>
      </c>
    </row>
    <row r="195" spans="1:12" s="63" customFormat="1" ht="37.5" customHeight="1">
      <c r="A195" s="123" t="s">
        <v>209</v>
      </c>
      <c r="B195" s="70">
        <v>934</v>
      </c>
      <c r="C195" s="68" t="s">
        <v>161</v>
      </c>
      <c r="D195" s="68" t="s">
        <v>162</v>
      </c>
      <c r="E195" s="120" t="s">
        <v>389</v>
      </c>
      <c r="F195" s="159">
        <v>244</v>
      </c>
      <c r="G195" s="93">
        <v>200</v>
      </c>
      <c r="H195" s="93">
        <v>0</v>
      </c>
      <c r="I195" s="93">
        <v>200</v>
      </c>
      <c r="J195" s="93">
        <v>0</v>
      </c>
      <c r="K195" s="680">
        <f t="shared" si="13"/>
        <v>0</v>
      </c>
      <c r="L195" s="680">
        <f t="shared" si="14"/>
        <v>0</v>
      </c>
    </row>
    <row r="196" spans="1:12" s="63" customFormat="1" ht="48.75" customHeight="1">
      <c r="A196" s="49" t="s">
        <v>279</v>
      </c>
      <c r="B196" s="69">
        <v>934</v>
      </c>
      <c r="C196" s="67" t="s">
        <v>161</v>
      </c>
      <c r="D196" s="67" t="s">
        <v>162</v>
      </c>
      <c r="E196" s="67" t="s">
        <v>813</v>
      </c>
      <c r="F196" s="69"/>
      <c r="G196" s="80">
        <f>G197</f>
        <v>320</v>
      </c>
      <c r="H196" s="380">
        <f>H197</f>
        <v>320</v>
      </c>
      <c r="I196" s="80">
        <f>I197</f>
        <v>320</v>
      </c>
      <c r="J196" s="380">
        <f>J197</f>
        <v>320</v>
      </c>
      <c r="K196" s="680">
        <f t="shared" si="13"/>
        <v>0</v>
      </c>
      <c r="L196" s="680">
        <f t="shared" si="14"/>
        <v>0</v>
      </c>
    </row>
    <row r="197" spans="1:12" s="63" customFormat="1" ht="48.75" customHeight="1">
      <c r="A197" s="48" t="s">
        <v>531</v>
      </c>
      <c r="B197" s="70">
        <v>934</v>
      </c>
      <c r="C197" s="68" t="s">
        <v>161</v>
      </c>
      <c r="D197" s="68" t="s">
        <v>162</v>
      </c>
      <c r="E197" s="67" t="s">
        <v>813</v>
      </c>
      <c r="F197" s="70">
        <v>812</v>
      </c>
      <c r="G197" s="81">
        <v>320</v>
      </c>
      <c r="H197" s="81">
        <f>G197</f>
        <v>320</v>
      </c>
      <c r="I197" s="81">
        <v>320</v>
      </c>
      <c r="J197" s="81">
        <f>I197</f>
        <v>320</v>
      </c>
      <c r="K197" s="680">
        <f t="shared" si="13"/>
        <v>0</v>
      </c>
      <c r="L197" s="680">
        <f t="shared" si="14"/>
        <v>0</v>
      </c>
    </row>
    <row r="198" spans="1:12" s="63" customFormat="1" ht="48.75" customHeight="1">
      <c r="A198" s="128" t="s">
        <v>408</v>
      </c>
      <c r="B198" s="159">
        <v>934</v>
      </c>
      <c r="C198" s="129" t="s">
        <v>161</v>
      </c>
      <c r="D198" s="129" t="s">
        <v>162</v>
      </c>
      <c r="E198" s="129" t="s">
        <v>814</v>
      </c>
      <c r="F198" s="159"/>
      <c r="G198" s="93">
        <f>G199+G200</f>
        <v>1.7</v>
      </c>
      <c r="H198" s="93">
        <f>H199+H200</f>
        <v>1.7</v>
      </c>
      <c r="I198" s="93">
        <f>I199+I200</f>
        <v>1.7</v>
      </c>
      <c r="J198" s="93">
        <f>J199+J200</f>
        <v>1.7</v>
      </c>
      <c r="K198" s="680">
        <f t="shared" si="13"/>
        <v>0</v>
      </c>
      <c r="L198" s="680">
        <f t="shared" si="14"/>
        <v>0</v>
      </c>
    </row>
    <row r="199" spans="1:12" s="63" customFormat="1">
      <c r="A199" s="138" t="s">
        <v>324</v>
      </c>
      <c r="B199" s="124">
        <v>934</v>
      </c>
      <c r="C199" s="120" t="s">
        <v>161</v>
      </c>
      <c r="D199" s="120" t="s">
        <v>162</v>
      </c>
      <c r="E199" s="129" t="s">
        <v>814</v>
      </c>
      <c r="F199" s="124">
        <v>121</v>
      </c>
      <c r="G199" s="119">
        <v>1.30568</v>
      </c>
      <c r="H199" s="119">
        <f>G199</f>
        <v>1.30568</v>
      </c>
      <c r="I199" s="119">
        <v>1.30568</v>
      </c>
      <c r="J199" s="119">
        <f>I199</f>
        <v>1.30568</v>
      </c>
      <c r="K199" s="680">
        <f t="shared" si="13"/>
        <v>0</v>
      </c>
      <c r="L199" s="680">
        <f t="shared" si="14"/>
        <v>0</v>
      </c>
    </row>
    <row r="200" spans="1:12" s="63" customFormat="1" ht="48.75" customHeight="1">
      <c r="A200" s="204" t="s">
        <v>325</v>
      </c>
      <c r="B200" s="124">
        <v>934</v>
      </c>
      <c r="C200" s="120" t="s">
        <v>161</v>
      </c>
      <c r="D200" s="120" t="s">
        <v>162</v>
      </c>
      <c r="E200" s="129" t="s">
        <v>814</v>
      </c>
      <c r="F200" s="124">
        <v>129</v>
      </c>
      <c r="G200" s="119">
        <v>0.39432</v>
      </c>
      <c r="H200" s="119">
        <f>G200</f>
        <v>0.39432</v>
      </c>
      <c r="I200" s="119">
        <v>0.39432</v>
      </c>
      <c r="J200" s="119">
        <f>I200</f>
        <v>0.39432</v>
      </c>
      <c r="K200" s="680">
        <f t="shared" si="13"/>
        <v>0</v>
      </c>
      <c r="L200" s="680">
        <f t="shared" si="14"/>
        <v>0</v>
      </c>
    </row>
    <row r="201" spans="1:12" s="63" customFormat="1">
      <c r="A201" s="51" t="s">
        <v>25</v>
      </c>
      <c r="B201" s="78">
        <v>934</v>
      </c>
      <c r="C201" s="78" t="s">
        <v>161</v>
      </c>
      <c r="D201" s="78" t="s">
        <v>159</v>
      </c>
      <c r="E201" s="78"/>
      <c r="F201" s="78"/>
      <c r="G201" s="79">
        <f>G205+G208+G211+G221+G202</f>
        <v>1654.56836</v>
      </c>
      <c r="H201" s="79">
        <f>H205+H208+H211+H221</f>
        <v>403.8</v>
      </c>
      <c r="I201" s="79">
        <f>I205+I208+I211+I221+I202</f>
        <v>1654.56836</v>
      </c>
      <c r="J201" s="79">
        <f>J205+J208+J211+J221</f>
        <v>403.8</v>
      </c>
      <c r="K201" s="680">
        <f t="shared" si="13"/>
        <v>0</v>
      </c>
      <c r="L201" s="680">
        <f t="shared" si="14"/>
        <v>0</v>
      </c>
    </row>
    <row r="202" spans="1:12" s="63" customFormat="1" ht="47.25">
      <c r="A202" s="142" t="s">
        <v>830</v>
      </c>
      <c r="B202" s="144" t="s">
        <v>140</v>
      </c>
      <c r="C202" s="144" t="s">
        <v>161</v>
      </c>
      <c r="D202" s="144" t="s">
        <v>159</v>
      </c>
      <c r="E202" s="144" t="s">
        <v>414</v>
      </c>
      <c r="F202" s="144"/>
      <c r="G202" s="154">
        <f t="shared" ref="G202:J203" si="19">G203</f>
        <v>0.76836000000000004</v>
      </c>
      <c r="H202" s="154">
        <f t="shared" si="19"/>
        <v>0</v>
      </c>
      <c r="I202" s="79">
        <f t="shared" si="19"/>
        <v>0.76836000000000004</v>
      </c>
      <c r="J202" s="79">
        <f t="shared" si="19"/>
        <v>0</v>
      </c>
      <c r="K202" s="680">
        <f t="shared" si="13"/>
        <v>0</v>
      </c>
      <c r="L202" s="680">
        <f t="shared" si="14"/>
        <v>0</v>
      </c>
    </row>
    <row r="203" spans="1:12" s="63" customFormat="1" ht="47.25">
      <c r="A203" s="142" t="s">
        <v>633</v>
      </c>
      <c r="B203" s="144" t="s">
        <v>140</v>
      </c>
      <c r="C203" s="144" t="s">
        <v>161</v>
      </c>
      <c r="D203" s="144" t="s">
        <v>159</v>
      </c>
      <c r="E203" s="144" t="s">
        <v>414</v>
      </c>
      <c r="F203" s="144"/>
      <c r="G203" s="154">
        <f t="shared" si="19"/>
        <v>0.76836000000000004</v>
      </c>
      <c r="H203" s="154">
        <f t="shared" si="19"/>
        <v>0</v>
      </c>
      <c r="I203" s="79">
        <f t="shared" si="19"/>
        <v>0.76836000000000004</v>
      </c>
      <c r="J203" s="79">
        <f t="shared" si="19"/>
        <v>0</v>
      </c>
      <c r="K203" s="680">
        <f t="shared" si="13"/>
        <v>0</v>
      </c>
      <c r="L203" s="680">
        <f t="shared" si="14"/>
        <v>0</v>
      </c>
    </row>
    <row r="204" spans="1:12" s="63" customFormat="1" ht="31.5">
      <c r="A204" s="123" t="s">
        <v>209</v>
      </c>
      <c r="B204" s="68" t="s">
        <v>140</v>
      </c>
      <c r="C204" s="68" t="s">
        <v>161</v>
      </c>
      <c r="D204" s="68" t="s">
        <v>159</v>
      </c>
      <c r="E204" s="68" t="s">
        <v>390</v>
      </c>
      <c r="F204" s="68" t="s">
        <v>312</v>
      </c>
      <c r="G204" s="79">
        <v>0.76836000000000004</v>
      </c>
      <c r="H204" s="79">
        <v>0</v>
      </c>
      <c r="I204" s="79">
        <v>0.76836000000000004</v>
      </c>
      <c r="J204" s="79">
        <v>0</v>
      </c>
      <c r="K204" s="680">
        <f t="shared" si="13"/>
        <v>0</v>
      </c>
      <c r="L204" s="680">
        <f t="shared" si="14"/>
        <v>0</v>
      </c>
    </row>
    <row r="205" spans="1:12" s="63" customFormat="1" ht="45.75" hidden="1" customHeight="1">
      <c r="A205" s="516" t="s">
        <v>1125</v>
      </c>
      <c r="B205" s="153" t="s">
        <v>140</v>
      </c>
      <c r="C205" s="153" t="s">
        <v>161</v>
      </c>
      <c r="D205" s="153" t="s">
        <v>159</v>
      </c>
      <c r="E205" s="152" t="s">
        <v>783</v>
      </c>
      <c r="F205" s="152"/>
      <c r="G205" s="154">
        <f>G206</f>
        <v>0</v>
      </c>
      <c r="H205" s="79">
        <v>0</v>
      </c>
      <c r="I205" s="154">
        <f>I206</f>
        <v>0</v>
      </c>
      <c r="J205" s="79">
        <v>0</v>
      </c>
      <c r="K205" s="680">
        <f t="shared" si="13"/>
        <v>0</v>
      </c>
      <c r="L205" s="680">
        <f t="shared" si="14"/>
        <v>0</v>
      </c>
    </row>
    <row r="206" spans="1:12" s="63" customFormat="1" ht="31.5" hidden="1">
      <c r="A206" s="247" t="s">
        <v>786</v>
      </c>
      <c r="B206" s="68" t="s">
        <v>140</v>
      </c>
      <c r="C206" s="68" t="s">
        <v>161</v>
      </c>
      <c r="D206" s="68" t="s">
        <v>159</v>
      </c>
      <c r="E206" s="139" t="s">
        <v>784</v>
      </c>
      <c r="F206" s="78"/>
      <c r="G206" s="81">
        <f>G207</f>
        <v>0</v>
      </c>
      <c r="H206" s="79">
        <v>0</v>
      </c>
      <c r="I206" s="81">
        <f>I207</f>
        <v>0</v>
      </c>
      <c r="J206" s="79">
        <v>0</v>
      </c>
      <c r="K206" s="680">
        <f t="shared" ref="K206:K269" si="20">G206-I206</f>
        <v>0</v>
      </c>
      <c r="L206" s="680">
        <f t="shared" ref="L206:L276" si="21">H206-J206</f>
        <v>0</v>
      </c>
    </row>
    <row r="207" spans="1:12" s="63" customFormat="1" ht="31.5" hidden="1">
      <c r="A207" s="441" t="s">
        <v>209</v>
      </c>
      <c r="B207" s="68" t="s">
        <v>140</v>
      </c>
      <c r="C207" s="68" t="s">
        <v>161</v>
      </c>
      <c r="D207" s="68" t="s">
        <v>159</v>
      </c>
      <c r="E207" s="139" t="s">
        <v>784</v>
      </c>
      <c r="F207" s="68" t="s">
        <v>312</v>
      </c>
      <c r="G207" s="81"/>
      <c r="H207" s="79">
        <v>0</v>
      </c>
      <c r="I207" s="81"/>
      <c r="J207" s="79">
        <v>0</v>
      </c>
      <c r="K207" s="680">
        <f t="shared" si="20"/>
        <v>0</v>
      </c>
      <c r="L207" s="680">
        <f t="shared" si="21"/>
        <v>0</v>
      </c>
    </row>
    <row r="208" spans="1:12" s="63" customFormat="1" ht="31.5">
      <c r="A208" s="142" t="s">
        <v>820</v>
      </c>
      <c r="B208" s="144" t="s">
        <v>140</v>
      </c>
      <c r="C208" s="144" t="s">
        <v>161</v>
      </c>
      <c r="D208" s="144" t="s">
        <v>159</v>
      </c>
      <c r="E208" s="144" t="s">
        <v>622</v>
      </c>
      <c r="F208" s="144"/>
      <c r="G208" s="146">
        <f t="shared" ref="G208:J208" si="22">G209</f>
        <v>750</v>
      </c>
      <c r="H208" s="146">
        <f t="shared" si="22"/>
        <v>0</v>
      </c>
      <c r="I208" s="146">
        <f t="shared" si="22"/>
        <v>750</v>
      </c>
      <c r="J208" s="146">
        <f t="shared" si="22"/>
        <v>0</v>
      </c>
      <c r="K208" s="680">
        <f t="shared" si="20"/>
        <v>0</v>
      </c>
      <c r="L208" s="680">
        <f t="shared" si="21"/>
        <v>0</v>
      </c>
    </row>
    <row r="209" spans="1:12" s="63" customFormat="1">
      <c r="A209" s="142" t="s">
        <v>642</v>
      </c>
      <c r="B209" s="144" t="s">
        <v>140</v>
      </c>
      <c r="C209" s="144" t="s">
        <v>161</v>
      </c>
      <c r="D209" s="144" t="s">
        <v>159</v>
      </c>
      <c r="E209" s="144" t="s">
        <v>622</v>
      </c>
      <c r="F209" s="144"/>
      <c r="G209" s="146">
        <f>G210</f>
        <v>750</v>
      </c>
      <c r="H209" s="146">
        <f>H210</f>
        <v>0</v>
      </c>
      <c r="I209" s="146">
        <f>I210</f>
        <v>750</v>
      </c>
      <c r="J209" s="146">
        <f>J210</f>
        <v>0</v>
      </c>
      <c r="K209" s="680">
        <f t="shared" si="20"/>
        <v>0</v>
      </c>
      <c r="L209" s="680">
        <f t="shared" si="21"/>
        <v>0</v>
      </c>
    </row>
    <row r="210" spans="1:12" s="63" customFormat="1" ht="31.5">
      <c r="A210" s="441" t="s">
        <v>209</v>
      </c>
      <c r="B210" s="68" t="s">
        <v>140</v>
      </c>
      <c r="C210" s="68" t="s">
        <v>161</v>
      </c>
      <c r="D210" s="68" t="s">
        <v>159</v>
      </c>
      <c r="E210" s="172" t="s">
        <v>1050</v>
      </c>
      <c r="F210" s="172" t="s">
        <v>312</v>
      </c>
      <c r="G210" s="169">
        <f>250+500</f>
        <v>750</v>
      </c>
      <c r="H210" s="169">
        <v>0</v>
      </c>
      <c r="I210" s="169">
        <f>250+500</f>
        <v>750</v>
      </c>
      <c r="J210" s="169">
        <v>0</v>
      </c>
      <c r="K210" s="680">
        <f t="shared" si="20"/>
        <v>0</v>
      </c>
      <c r="L210" s="680">
        <f t="shared" si="21"/>
        <v>0</v>
      </c>
    </row>
    <row r="211" spans="1:12" s="63" customFormat="1" ht="47.25">
      <c r="A211" s="342" t="s">
        <v>1104</v>
      </c>
      <c r="B211" s="153" t="s">
        <v>140</v>
      </c>
      <c r="C211" s="153" t="s">
        <v>161</v>
      </c>
      <c r="D211" s="153" t="s">
        <v>159</v>
      </c>
      <c r="E211" s="153" t="s">
        <v>398</v>
      </c>
      <c r="F211" s="153"/>
      <c r="G211" s="162">
        <f t="shared" ref="G211:J212" si="23">G212</f>
        <v>900</v>
      </c>
      <c r="H211" s="162">
        <f t="shared" si="23"/>
        <v>400</v>
      </c>
      <c r="I211" s="162">
        <f t="shared" si="23"/>
        <v>900</v>
      </c>
      <c r="J211" s="162">
        <f t="shared" si="23"/>
        <v>400</v>
      </c>
      <c r="K211" s="680">
        <f t="shared" si="20"/>
        <v>0</v>
      </c>
      <c r="L211" s="680">
        <f t="shared" si="21"/>
        <v>0</v>
      </c>
    </row>
    <row r="212" spans="1:12" s="63" customFormat="1" ht="47.25">
      <c r="A212" s="342" t="s">
        <v>1111</v>
      </c>
      <c r="B212" s="153" t="s">
        <v>140</v>
      </c>
      <c r="C212" s="153" t="s">
        <v>161</v>
      </c>
      <c r="D212" s="153" t="s">
        <v>159</v>
      </c>
      <c r="E212" s="153" t="s">
        <v>379</v>
      </c>
      <c r="F212" s="153"/>
      <c r="G212" s="162">
        <f t="shared" si="23"/>
        <v>900</v>
      </c>
      <c r="H212" s="162">
        <f t="shared" si="23"/>
        <v>400</v>
      </c>
      <c r="I212" s="162">
        <f t="shared" si="23"/>
        <v>900</v>
      </c>
      <c r="J212" s="162">
        <f t="shared" si="23"/>
        <v>400</v>
      </c>
      <c r="K212" s="680">
        <f t="shared" si="20"/>
        <v>0</v>
      </c>
      <c r="L212" s="680">
        <f t="shared" si="21"/>
        <v>0</v>
      </c>
    </row>
    <row r="213" spans="1:12" s="63" customFormat="1" ht="31.5">
      <c r="A213" s="342" t="s">
        <v>644</v>
      </c>
      <c r="B213" s="153" t="s">
        <v>140</v>
      </c>
      <c r="C213" s="153" t="s">
        <v>161</v>
      </c>
      <c r="D213" s="153" t="s">
        <v>159</v>
      </c>
      <c r="E213" s="153" t="s">
        <v>379</v>
      </c>
      <c r="F213" s="153"/>
      <c r="G213" s="162">
        <f>G214+G217+G219</f>
        <v>900</v>
      </c>
      <c r="H213" s="162">
        <f>H214+H217+H219</f>
        <v>400</v>
      </c>
      <c r="I213" s="162">
        <f>I214+I217+I219</f>
        <v>900</v>
      </c>
      <c r="J213" s="162">
        <f>J214+J217+J219</f>
        <v>400</v>
      </c>
      <c r="K213" s="680">
        <f t="shared" si="20"/>
        <v>0</v>
      </c>
      <c r="L213" s="680">
        <f t="shared" si="21"/>
        <v>0</v>
      </c>
    </row>
    <row r="214" spans="1:12" s="170" customFormat="1" ht="31.5">
      <c r="A214" s="175" t="s">
        <v>1103</v>
      </c>
      <c r="B214" s="68" t="s">
        <v>140</v>
      </c>
      <c r="C214" s="68" t="s">
        <v>161</v>
      </c>
      <c r="D214" s="68" t="s">
        <v>159</v>
      </c>
      <c r="E214" s="68" t="s">
        <v>380</v>
      </c>
      <c r="F214" s="172"/>
      <c r="G214" s="167">
        <f>G215+G216</f>
        <v>100</v>
      </c>
      <c r="H214" s="167">
        <f>H215</f>
        <v>0</v>
      </c>
      <c r="I214" s="167">
        <f>I215+I216</f>
        <v>100</v>
      </c>
      <c r="J214" s="167">
        <f>J215</f>
        <v>0</v>
      </c>
      <c r="K214" s="680">
        <f t="shared" si="20"/>
        <v>0</v>
      </c>
      <c r="L214" s="680">
        <f t="shared" si="21"/>
        <v>0</v>
      </c>
    </row>
    <row r="215" spans="1:12" s="63" customFormat="1" ht="37.5" customHeight="1">
      <c r="A215" s="123" t="s">
        <v>209</v>
      </c>
      <c r="B215" s="68" t="s">
        <v>140</v>
      </c>
      <c r="C215" s="68" t="s">
        <v>161</v>
      </c>
      <c r="D215" s="68" t="s">
        <v>159</v>
      </c>
      <c r="E215" s="68" t="s">
        <v>380</v>
      </c>
      <c r="F215" s="68" t="s">
        <v>312</v>
      </c>
      <c r="G215" s="81">
        <v>70</v>
      </c>
      <c r="H215" s="81">
        <v>0</v>
      </c>
      <c r="I215" s="81">
        <v>70</v>
      </c>
      <c r="J215" s="81">
        <v>0</v>
      </c>
      <c r="K215" s="680">
        <f t="shared" si="20"/>
        <v>0</v>
      </c>
      <c r="L215" s="680">
        <f t="shared" si="21"/>
        <v>0</v>
      </c>
    </row>
    <row r="216" spans="1:12" s="63" customFormat="1" ht="37.5" customHeight="1">
      <c r="A216" s="48" t="s">
        <v>130</v>
      </c>
      <c r="B216" s="68" t="s">
        <v>140</v>
      </c>
      <c r="C216" s="68" t="s">
        <v>161</v>
      </c>
      <c r="D216" s="68" t="s">
        <v>159</v>
      </c>
      <c r="E216" s="68" t="s">
        <v>380</v>
      </c>
      <c r="F216" s="68" t="s">
        <v>746</v>
      </c>
      <c r="G216" s="81">
        <v>30</v>
      </c>
      <c r="H216" s="81">
        <v>0</v>
      </c>
      <c r="I216" s="81">
        <v>30</v>
      </c>
      <c r="J216" s="81">
        <v>0</v>
      </c>
      <c r="K216" s="680">
        <f t="shared" si="20"/>
        <v>0</v>
      </c>
      <c r="L216" s="680">
        <f t="shared" si="21"/>
        <v>0</v>
      </c>
    </row>
    <row r="217" spans="1:12" s="63" customFormat="1" ht="47.25">
      <c r="A217" s="123" t="s">
        <v>735</v>
      </c>
      <c r="B217" s="68" t="s">
        <v>140</v>
      </c>
      <c r="C217" s="68" t="s">
        <v>161</v>
      </c>
      <c r="D217" s="68" t="s">
        <v>159</v>
      </c>
      <c r="E217" s="68" t="s">
        <v>737</v>
      </c>
      <c r="F217" s="68"/>
      <c r="G217" s="81">
        <f>G218</f>
        <v>400</v>
      </c>
      <c r="H217" s="81">
        <f>H218</f>
        <v>400</v>
      </c>
      <c r="I217" s="81">
        <f>I218</f>
        <v>400</v>
      </c>
      <c r="J217" s="81">
        <f>J218</f>
        <v>400</v>
      </c>
      <c r="K217" s="680">
        <f t="shared" si="20"/>
        <v>0</v>
      </c>
      <c r="L217" s="680">
        <f t="shared" si="21"/>
        <v>0</v>
      </c>
    </row>
    <row r="218" spans="1:12" s="63" customFormat="1" ht="31.5">
      <c r="A218" s="123" t="s">
        <v>209</v>
      </c>
      <c r="B218" s="68" t="s">
        <v>140</v>
      </c>
      <c r="C218" s="68" t="s">
        <v>161</v>
      </c>
      <c r="D218" s="68" t="s">
        <v>159</v>
      </c>
      <c r="E218" s="68" t="s">
        <v>737</v>
      </c>
      <c r="F218" s="68" t="s">
        <v>312</v>
      </c>
      <c r="G218" s="81">
        <v>400</v>
      </c>
      <c r="H218" s="81">
        <f>G218</f>
        <v>400</v>
      </c>
      <c r="I218" s="81">
        <v>400</v>
      </c>
      <c r="J218" s="81">
        <f>I218</f>
        <v>400</v>
      </c>
      <c r="K218" s="680">
        <f t="shared" si="20"/>
        <v>0</v>
      </c>
      <c r="L218" s="680">
        <f t="shared" si="21"/>
        <v>0</v>
      </c>
    </row>
    <row r="219" spans="1:12" s="63" customFormat="1" ht="63">
      <c r="A219" s="123" t="s">
        <v>736</v>
      </c>
      <c r="B219" s="68" t="s">
        <v>140</v>
      </c>
      <c r="C219" s="68" t="s">
        <v>161</v>
      </c>
      <c r="D219" s="68" t="s">
        <v>159</v>
      </c>
      <c r="E219" s="68" t="s">
        <v>737</v>
      </c>
      <c r="F219" s="68"/>
      <c r="G219" s="81">
        <f>G220</f>
        <v>400</v>
      </c>
      <c r="H219" s="81">
        <v>0</v>
      </c>
      <c r="I219" s="81">
        <f>I220</f>
        <v>400</v>
      </c>
      <c r="J219" s="81">
        <v>0</v>
      </c>
      <c r="K219" s="680">
        <f t="shared" si="20"/>
        <v>0</v>
      </c>
      <c r="L219" s="680">
        <f t="shared" si="21"/>
        <v>0</v>
      </c>
    </row>
    <row r="220" spans="1:12" s="63" customFormat="1" ht="31.5">
      <c r="A220" s="123" t="s">
        <v>209</v>
      </c>
      <c r="B220" s="68" t="s">
        <v>140</v>
      </c>
      <c r="C220" s="68" t="s">
        <v>161</v>
      </c>
      <c r="D220" s="68" t="s">
        <v>159</v>
      </c>
      <c r="E220" s="68" t="s">
        <v>737</v>
      </c>
      <c r="F220" s="68" t="s">
        <v>312</v>
      </c>
      <c r="G220" s="81">
        <v>400</v>
      </c>
      <c r="H220" s="81">
        <v>0</v>
      </c>
      <c r="I220" s="81">
        <v>400</v>
      </c>
      <c r="J220" s="81">
        <v>0</v>
      </c>
      <c r="K220" s="680">
        <f t="shared" si="20"/>
        <v>0</v>
      </c>
      <c r="L220" s="680">
        <f t="shared" si="21"/>
        <v>0</v>
      </c>
    </row>
    <row r="221" spans="1:12" s="63" customFormat="1" ht="47.25">
      <c r="A221" s="507" t="s">
        <v>834</v>
      </c>
      <c r="B221" s="153" t="s">
        <v>140</v>
      </c>
      <c r="C221" s="153" t="s">
        <v>161</v>
      </c>
      <c r="D221" s="153" t="s">
        <v>159</v>
      </c>
      <c r="E221" s="153" t="s">
        <v>847</v>
      </c>
      <c r="F221" s="153"/>
      <c r="G221" s="162">
        <f t="shared" ref="G221:J222" si="24">G222</f>
        <v>3.8</v>
      </c>
      <c r="H221" s="162">
        <f t="shared" si="24"/>
        <v>3.8</v>
      </c>
      <c r="I221" s="162">
        <f t="shared" si="24"/>
        <v>3.8</v>
      </c>
      <c r="J221" s="162">
        <f t="shared" si="24"/>
        <v>3.8</v>
      </c>
      <c r="K221" s="680">
        <f t="shared" si="20"/>
        <v>0</v>
      </c>
      <c r="L221" s="680">
        <f t="shared" si="21"/>
        <v>0</v>
      </c>
    </row>
    <row r="222" spans="1:12" s="63" customFormat="1" ht="31.5">
      <c r="A222" s="507" t="s">
        <v>846</v>
      </c>
      <c r="B222" s="153" t="s">
        <v>140</v>
      </c>
      <c r="C222" s="153" t="s">
        <v>161</v>
      </c>
      <c r="D222" s="153" t="s">
        <v>159</v>
      </c>
      <c r="E222" s="153" t="s">
        <v>857</v>
      </c>
      <c r="F222" s="153"/>
      <c r="G222" s="162">
        <f t="shared" si="24"/>
        <v>3.8</v>
      </c>
      <c r="H222" s="162">
        <f t="shared" si="24"/>
        <v>3.8</v>
      </c>
      <c r="I222" s="162">
        <f t="shared" si="24"/>
        <v>3.8</v>
      </c>
      <c r="J222" s="162">
        <f t="shared" si="24"/>
        <v>3.8</v>
      </c>
      <c r="K222" s="680">
        <f t="shared" si="20"/>
        <v>0</v>
      </c>
      <c r="L222" s="680">
        <f t="shared" si="21"/>
        <v>0</v>
      </c>
    </row>
    <row r="223" spans="1:12" s="63" customFormat="1" ht="51" customHeight="1">
      <c r="A223" s="466" t="s">
        <v>843</v>
      </c>
      <c r="B223" s="68" t="s">
        <v>140</v>
      </c>
      <c r="C223" s="68" t="s">
        <v>161</v>
      </c>
      <c r="D223" s="68" t="s">
        <v>159</v>
      </c>
      <c r="E223" s="68" t="s">
        <v>842</v>
      </c>
      <c r="F223" s="68"/>
      <c r="G223" s="81">
        <f>G224</f>
        <v>3.8</v>
      </c>
      <c r="H223" s="81">
        <f>H224+H301</f>
        <v>3.8</v>
      </c>
      <c r="I223" s="81">
        <f>I224</f>
        <v>3.8</v>
      </c>
      <c r="J223" s="81">
        <f>J224+J301</f>
        <v>3.8</v>
      </c>
      <c r="K223" s="680">
        <f t="shared" si="20"/>
        <v>0</v>
      </c>
      <c r="L223" s="680">
        <f t="shared" si="21"/>
        <v>0</v>
      </c>
    </row>
    <row r="224" spans="1:12" s="127" customFormat="1" ht="66.75" customHeight="1">
      <c r="A224" s="49" t="s">
        <v>313</v>
      </c>
      <c r="B224" s="67" t="s">
        <v>140</v>
      </c>
      <c r="C224" s="67" t="s">
        <v>161</v>
      </c>
      <c r="D224" s="67" t="s">
        <v>159</v>
      </c>
      <c r="E224" s="68" t="s">
        <v>860</v>
      </c>
      <c r="F224" s="67"/>
      <c r="G224" s="80">
        <f>G225+G226</f>
        <v>3.8</v>
      </c>
      <c r="H224" s="80">
        <f>H225+H226</f>
        <v>3.8</v>
      </c>
      <c r="I224" s="80">
        <f>I225+I226</f>
        <v>3.8</v>
      </c>
      <c r="J224" s="80">
        <f>J225+J226</f>
        <v>3.8</v>
      </c>
      <c r="K224" s="680">
        <f t="shared" si="20"/>
        <v>0</v>
      </c>
      <c r="L224" s="680">
        <f t="shared" si="21"/>
        <v>0</v>
      </c>
    </row>
    <row r="225" spans="1:12" s="63" customFormat="1" ht="15.75" customHeight="1">
      <c r="A225" s="48" t="s">
        <v>324</v>
      </c>
      <c r="B225" s="68" t="s">
        <v>140</v>
      </c>
      <c r="C225" s="68" t="s">
        <v>161</v>
      </c>
      <c r="D225" s="68" t="s">
        <v>159</v>
      </c>
      <c r="E225" s="68" t="s">
        <v>860</v>
      </c>
      <c r="F225" s="68" t="s">
        <v>311</v>
      </c>
      <c r="G225" s="81">
        <v>2.91859</v>
      </c>
      <c r="H225" s="81">
        <f>G225</f>
        <v>2.91859</v>
      </c>
      <c r="I225" s="81">
        <v>2.91859</v>
      </c>
      <c r="J225" s="81">
        <f>I225</f>
        <v>2.91859</v>
      </c>
      <c r="K225" s="680">
        <f t="shared" si="20"/>
        <v>0</v>
      </c>
      <c r="L225" s="680">
        <f t="shared" si="21"/>
        <v>0</v>
      </c>
    </row>
    <row r="226" spans="1:12" s="63" customFormat="1" ht="47.25">
      <c r="A226" s="164" t="s">
        <v>325</v>
      </c>
      <c r="B226" s="68" t="s">
        <v>140</v>
      </c>
      <c r="C226" s="68" t="s">
        <v>161</v>
      </c>
      <c r="D226" s="68" t="s">
        <v>159</v>
      </c>
      <c r="E226" s="68" t="s">
        <v>860</v>
      </c>
      <c r="F226" s="68" t="s">
        <v>326</v>
      </c>
      <c r="G226" s="81">
        <v>0.88141000000000003</v>
      </c>
      <c r="H226" s="81">
        <f>G226</f>
        <v>0.88141000000000003</v>
      </c>
      <c r="I226" s="81">
        <v>0.88141000000000003</v>
      </c>
      <c r="J226" s="81">
        <f>I226</f>
        <v>0.88141000000000003</v>
      </c>
      <c r="K226" s="680">
        <f t="shared" si="20"/>
        <v>0</v>
      </c>
      <c r="L226" s="680">
        <f t="shared" si="21"/>
        <v>0</v>
      </c>
    </row>
    <row r="227" spans="1:12" s="63" customFormat="1">
      <c r="A227" s="52" t="s">
        <v>207</v>
      </c>
      <c r="B227" s="75" t="s">
        <v>140</v>
      </c>
      <c r="C227" s="75" t="s">
        <v>162</v>
      </c>
      <c r="D227" s="75"/>
      <c r="E227" s="75"/>
      <c r="F227" s="75"/>
      <c r="G227" s="76">
        <f>G228</f>
        <v>98.818079999999995</v>
      </c>
      <c r="H227" s="76">
        <v>0</v>
      </c>
      <c r="I227" s="76">
        <f>I228</f>
        <v>98.818079999999995</v>
      </c>
      <c r="J227" s="76">
        <v>0</v>
      </c>
      <c r="K227" s="680">
        <f t="shared" si="20"/>
        <v>0</v>
      </c>
      <c r="L227" s="680">
        <f t="shared" si="21"/>
        <v>0</v>
      </c>
    </row>
    <row r="228" spans="1:12" s="63" customFormat="1">
      <c r="A228" s="466" t="s">
        <v>22</v>
      </c>
      <c r="B228" s="75" t="s">
        <v>140</v>
      </c>
      <c r="C228" s="75" t="s">
        <v>162</v>
      </c>
      <c r="D228" s="75" t="s">
        <v>162</v>
      </c>
      <c r="E228" s="75"/>
      <c r="F228" s="75"/>
      <c r="G228" s="76">
        <f>G229</f>
        <v>98.818079999999995</v>
      </c>
      <c r="H228" s="76">
        <v>0</v>
      </c>
      <c r="I228" s="76">
        <f>I229</f>
        <v>98.818079999999995</v>
      </c>
      <c r="J228" s="76">
        <v>0</v>
      </c>
      <c r="K228" s="680">
        <f t="shared" si="20"/>
        <v>0</v>
      </c>
      <c r="L228" s="680">
        <f t="shared" si="21"/>
        <v>0</v>
      </c>
    </row>
    <row r="229" spans="1:12" s="63" customFormat="1" ht="47.25">
      <c r="A229" s="466" t="s">
        <v>827</v>
      </c>
      <c r="B229" s="75" t="s">
        <v>140</v>
      </c>
      <c r="C229" s="75" t="s">
        <v>162</v>
      </c>
      <c r="D229" s="75" t="s">
        <v>162</v>
      </c>
      <c r="E229" s="75" t="s">
        <v>414</v>
      </c>
      <c r="F229" s="75"/>
      <c r="G229" s="76">
        <f>G230</f>
        <v>98.818079999999995</v>
      </c>
      <c r="H229" s="76">
        <v>0</v>
      </c>
      <c r="I229" s="76">
        <f>I230</f>
        <v>98.818079999999995</v>
      </c>
      <c r="J229" s="76">
        <v>0</v>
      </c>
      <c r="K229" s="680">
        <f t="shared" si="20"/>
        <v>0</v>
      </c>
      <c r="L229" s="680">
        <f t="shared" si="21"/>
        <v>0</v>
      </c>
    </row>
    <row r="230" spans="1:12" s="63" customFormat="1" ht="46.5" customHeight="1">
      <c r="A230" s="141" t="s">
        <v>633</v>
      </c>
      <c r="B230" s="68" t="s">
        <v>140</v>
      </c>
      <c r="C230" s="68" t="s">
        <v>162</v>
      </c>
      <c r="D230" s="68" t="s">
        <v>162</v>
      </c>
      <c r="E230" s="68" t="s">
        <v>414</v>
      </c>
      <c r="F230" s="68"/>
      <c r="G230" s="81">
        <f>G231</f>
        <v>98.818079999999995</v>
      </c>
      <c r="H230" s="81">
        <v>0</v>
      </c>
      <c r="I230" s="81">
        <f>I231</f>
        <v>98.818079999999995</v>
      </c>
      <c r="J230" s="81">
        <v>0</v>
      </c>
      <c r="K230" s="680">
        <f t="shared" si="20"/>
        <v>0</v>
      </c>
      <c r="L230" s="680">
        <f t="shared" si="21"/>
        <v>0</v>
      </c>
    </row>
    <row r="231" spans="1:12" s="63" customFormat="1" ht="46.5" customHeight="1">
      <c r="A231" s="141" t="s">
        <v>329</v>
      </c>
      <c r="B231" s="68" t="s">
        <v>140</v>
      </c>
      <c r="C231" s="68" t="s">
        <v>162</v>
      </c>
      <c r="D231" s="68" t="s">
        <v>162</v>
      </c>
      <c r="E231" s="68" t="s">
        <v>823</v>
      </c>
      <c r="F231" s="68"/>
      <c r="G231" s="81">
        <f>G232</f>
        <v>98.818079999999995</v>
      </c>
      <c r="H231" s="81">
        <v>0</v>
      </c>
      <c r="I231" s="81">
        <f>I232</f>
        <v>98.818079999999995</v>
      </c>
      <c r="J231" s="81">
        <v>0</v>
      </c>
      <c r="K231" s="680">
        <f t="shared" si="20"/>
        <v>0</v>
      </c>
      <c r="L231" s="680">
        <f t="shared" si="21"/>
        <v>0</v>
      </c>
    </row>
    <row r="232" spans="1:12" s="63" customFormat="1" ht="31.5">
      <c r="A232" s="123" t="s">
        <v>209</v>
      </c>
      <c r="B232" s="68" t="s">
        <v>140</v>
      </c>
      <c r="C232" s="68" t="s">
        <v>162</v>
      </c>
      <c r="D232" s="68" t="s">
        <v>162</v>
      </c>
      <c r="E232" s="68" t="s">
        <v>823</v>
      </c>
      <c r="F232" s="68" t="s">
        <v>312</v>
      </c>
      <c r="G232" s="81">
        <v>98.818079999999995</v>
      </c>
      <c r="H232" s="81">
        <v>0</v>
      </c>
      <c r="I232" s="81">
        <v>98.818079999999995</v>
      </c>
      <c r="J232" s="81">
        <v>0</v>
      </c>
      <c r="K232" s="680">
        <f t="shared" si="20"/>
        <v>0</v>
      </c>
      <c r="L232" s="680">
        <f t="shared" si="21"/>
        <v>0</v>
      </c>
    </row>
    <row r="233" spans="1:12" s="64" customFormat="1">
      <c r="A233" s="52" t="s">
        <v>307</v>
      </c>
      <c r="B233" s="75">
        <v>934</v>
      </c>
      <c r="C233" s="75" t="s">
        <v>154</v>
      </c>
      <c r="D233" s="75" t="s">
        <v>376</v>
      </c>
      <c r="E233" s="85"/>
      <c r="F233" s="75"/>
      <c r="G233" s="76">
        <f>G234+G242</f>
        <v>22784.840820000001</v>
      </c>
      <c r="H233" s="76">
        <f>H234+H242</f>
        <v>8653.2000000000007</v>
      </c>
      <c r="I233" s="76">
        <f>I234+I242</f>
        <v>22784.840820000001</v>
      </c>
      <c r="J233" s="76">
        <f>J234+J242</f>
        <v>8653.2000000000007</v>
      </c>
      <c r="K233" s="680">
        <f t="shared" si="20"/>
        <v>0</v>
      </c>
      <c r="L233" s="680">
        <f t="shared" si="21"/>
        <v>0</v>
      </c>
    </row>
    <row r="234" spans="1:12" s="64" customFormat="1">
      <c r="A234" s="51" t="s">
        <v>364</v>
      </c>
      <c r="B234" s="78" t="s">
        <v>140</v>
      </c>
      <c r="C234" s="78" t="s">
        <v>154</v>
      </c>
      <c r="D234" s="78" t="s">
        <v>155</v>
      </c>
      <c r="E234" s="86"/>
      <c r="F234" s="78"/>
      <c r="G234" s="79">
        <f>G235</f>
        <v>22582.800000000003</v>
      </c>
      <c r="H234" s="79">
        <f>H235</f>
        <v>8553.2000000000007</v>
      </c>
      <c r="I234" s="79">
        <f>I235</f>
        <v>22582.800000000003</v>
      </c>
      <c r="J234" s="79">
        <f>J235</f>
        <v>8553.2000000000007</v>
      </c>
      <c r="K234" s="680">
        <f t="shared" si="20"/>
        <v>0</v>
      </c>
      <c r="L234" s="680">
        <f t="shared" si="21"/>
        <v>0</v>
      </c>
    </row>
    <row r="235" spans="1:12" s="63" customFormat="1" ht="31.5">
      <c r="A235" s="142" t="s">
        <v>1126</v>
      </c>
      <c r="B235" s="144" t="s">
        <v>140</v>
      </c>
      <c r="C235" s="144" t="s">
        <v>154</v>
      </c>
      <c r="D235" s="144" t="s">
        <v>155</v>
      </c>
      <c r="E235" s="144" t="s">
        <v>404</v>
      </c>
      <c r="F235" s="144"/>
      <c r="G235" s="146">
        <f t="shared" ref="G235:J235" si="25">G236</f>
        <v>22582.800000000003</v>
      </c>
      <c r="H235" s="146">
        <f t="shared" si="25"/>
        <v>8553.2000000000007</v>
      </c>
      <c r="I235" s="146">
        <f t="shared" si="25"/>
        <v>22582.800000000003</v>
      </c>
      <c r="J235" s="146">
        <f t="shared" si="25"/>
        <v>8553.2000000000007</v>
      </c>
      <c r="K235" s="680">
        <f t="shared" si="20"/>
        <v>0</v>
      </c>
      <c r="L235" s="680">
        <f t="shared" si="21"/>
        <v>0</v>
      </c>
    </row>
    <row r="236" spans="1:12" s="63" customFormat="1" ht="35.25" customHeight="1">
      <c r="A236" s="142" t="s">
        <v>645</v>
      </c>
      <c r="B236" s="144" t="s">
        <v>140</v>
      </c>
      <c r="C236" s="144" t="s">
        <v>154</v>
      </c>
      <c r="D236" s="144" t="s">
        <v>155</v>
      </c>
      <c r="E236" s="144" t="s">
        <v>404</v>
      </c>
      <c r="F236" s="144"/>
      <c r="G236" s="146">
        <f>G237+G239+G241</f>
        <v>22582.800000000003</v>
      </c>
      <c r="H236" s="146">
        <f>H237+H239+H241</f>
        <v>8553.2000000000007</v>
      </c>
      <c r="I236" s="146">
        <f>I237+I239+I241</f>
        <v>22582.800000000003</v>
      </c>
      <c r="J236" s="146">
        <f>J237+J239+J241</f>
        <v>8553.2000000000007</v>
      </c>
      <c r="K236" s="680">
        <f t="shared" si="20"/>
        <v>0</v>
      </c>
      <c r="L236" s="680">
        <f t="shared" si="21"/>
        <v>0</v>
      </c>
    </row>
    <row r="237" spans="1:12" s="64" customFormat="1" ht="94.5">
      <c r="A237" s="49" t="s">
        <v>122</v>
      </c>
      <c r="B237" s="67" t="s">
        <v>140</v>
      </c>
      <c r="C237" s="67" t="s">
        <v>154</v>
      </c>
      <c r="D237" s="67" t="s">
        <v>155</v>
      </c>
      <c r="E237" s="68" t="s">
        <v>490</v>
      </c>
      <c r="F237" s="67"/>
      <c r="G237" s="93">
        <f>G238</f>
        <v>8553.2000000000007</v>
      </c>
      <c r="H237" s="93">
        <f>H238</f>
        <v>8553.2000000000007</v>
      </c>
      <c r="I237" s="93">
        <f>I238</f>
        <v>8553.2000000000007</v>
      </c>
      <c r="J237" s="93">
        <f>J238</f>
        <v>8553.2000000000007</v>
      </c>
      <c r="K237" s="680">
        <f t="shared" si="20"/>
        <v>0</v>
      </c>
      <c r="L237" s="680">
        <f t="shared" si="21"/>
        <v>0</v>
      </c>
    </row>
    <row r="238" spans="1:12" s="64" customFormat="1">
      <c r="A238" s="48" t="s">
        <v>269</v>
      </c>
      <c r="B238" s="68" t="s">
        <v>140</v>
      </c>
      <c r="C238" s="68" t="s">
        <v>154</v>
      </c>
      <c r="D238" s="68" t="s">
        <v>155</v>
      </c>
      <c r="E238" s="68" t="s">
        <v>490</v>
      </c>
      <c r="F238" s="68" t="s">
        <v>270</v>
      </c>
      <c r="G238" s="81">
        <v>8553.2000000000007</v>
      </c>
      <c r="H238" s="81">
        <f>G238</f>
        <v>8553.2000000000007</v>
      </c>
      <c r="I238" s="81">
        <v>8553.2000000000007</v>
      </c>
      <c r="J238" s="81">
        <f>I238</f>
        <v>8553.2000000000007</v>
      </c>
      <c r="K238" s="680">
        <f t="shared" si="20"/>
        <v>0</v>
      </c>
      <c r="L238" s="680">
        <f t="shared" si="21"/>
        <v>0</v>
      </c>
    </row>
    <row r="239" spans="1:12" s="64" customFormat="1" ht="94.5">
      <c r="A239" s="48" t="s">
        <v>489</v>
      </c>
      <c r="B239" s="67" t="s">
        <v>140</v>
      </c>
      <c r="C239" s="67" t="s">
        <v>154</v>
      </c>
      <c r="D239" s="67" t="s">
        <v>155</v>
      </c>
      <c r="E239" s="68" t="s">
        <v>490</v>
      </c>
      <c r="F239" s="67"/>
      <c r="G239" s="81">
        <f>G240</f>
        <v>3500</v>
      </c>
      <c r="H239" s="81">
        <f>H240</f>
        <v>0</v>
      </c>
      <c r="I239" s="81">
        <f>I240</f>
        <v>3500</v>
      </c>
      <c r="J239" s="81">
        <f>J240</f>
        <v>0</v>
      </c>
      <c r="K239" s="680">
        <f t="shared" si="20"/>
        <v>0</v>
      </c>
      <c r="L239" s="680">
        <f t="shared" si="21"/>
        <v>0</v>
      </c>
    </row>
    <row r="240" spans="1:12" s="64" customFormat="1">
      <c r="A240" s="48" t="s">
        <v>269</v>
      </c>
      <c r="B240" s="68" t="s">
        <v>140</v>
      </c>
      <c r="C240" s="68" t="s">
        <v>154</v>
      </c>
      <c r="D240" s="68" t="s">
        <v>155</v>
      </c>
      <c r="E240" s="68" t="s">
        <v>490</v>
      </c>
      <c r="F240" s="68" t="s">
        <v>270</v>
      </c>
      <c r="G240" s="81">
        <v>3500</v>
      </c>
      <c r="H240" s="81">
        <v>0</v>
      </c>
      <c r="I240" s="81">
        <v>3500</v>
      </c>
      <c r="J240" s="81">
        <v>0</v>
      </c>
      <c r="K240" s="680">
        <f t="shared" si="20"/>
        <v>0</v>
      </c>
      <c r="L240" s="680">
        <f t="shared" si="21"/>
        <v>0</v>
      </c>
    </row>
    <row r="241" spans="1:12" s="64" customFormat="1" ht="47.25">
      <c r="A241" s="48" t="s">
        <v>268</v>
      </c>
      <c r="B241" s="68" t="s">
        <v>140</v>
      </c>
      <c r="C241" s="68" t="s">
        <v>154</v>
      </c>
      <c r="D241" s="68" t="s">
        <v>155</v>
      </c>
      <c r="E241" s="68" t="s">
        <v>392</v>
      </c>
      <c r="F241" s="68" t="s">
        <v>320</v>
      </c>
      <c r="G241" s="81">
        <f>809.7+9719.9</f>
        <v>10529.6</v>
      </c>
      <c r="H241" s="81">
        <v>0</v>
      </c>
      <c r="I241" s="81">
        <f>809.7+9719.9</f>
        <v>10529.6</v>
      </c>
      <c r="J241" s="81">
        <v>0</v>
      </c>
      <c r="K241" s="680">
        <f t="shared" si="20"/>
        <v>0</v>
      </c>
      <c r="L241" s="680">
        <f t="shared" si="21"/>
        <v>0</v>
      </c>
    </row>
    <row r="242" spans="1:12" s="63" customFormat="1">
      <c r="A242" s="51" t="s">
        <v>300</v>
      </c>
      <c r="B242" s="77">
        <v>934</v>
      </c>
      <c r="C242" s="78" t="s">
        <v>154</v>
      </c>
      <c r="D242" s="78" t="s">
        <v>154</v>
      </c>
      <c r="E242" s="78"/>
      <c r="F242" s="78"/>
      <c r="G242" s="79">
        <f t="shared" ref="G242:J243" si="26">G243</f>
        <v>202.04082</v>
      </c>
      <c r="H242" s="79">
        <f t="shared" si="26"/>
        <v>100</v>
      </c>
      <c r="I242" s="79">
        <f t="shared" si="26"/>
        <v>202.04082</v>
      </c>
      <c r="J242" s="79">
        <f t="shared" si="26"/>
        <v>100</v>
      </c>
      <c r="K242" s="680">
        <f t="shared" si="20"/>
        <v>0</v>
      </c>
      <c r="L242" s="680">
        <f t="shared" si="21"/>
        <v>0</v>
      </c>
    </row>
    <row r="243" spans="1:12" s="63" customFormat="1" ht="31.5">
      <c r="A243" s="142" t="s">
        <v>1106</v>
      </c>
      <c r="B243" s="143">
        <v>934</v>
      </c>
      <c r="C243" s="144" t="s">
        <v>154</v>
      </c>
      <c r="D243" s="144" t="s">
        <v>154</v>
      </c>
      <c r="E243" s="144" t="s">
        <v>428</v>
      </c>
      <c r="F243" s="144"/>
      <c r="G243" s="146">
        <f t="shared" si="26"/>
        <v>202.04082</v>
      </c>
      <c r="H243" s="146">
        <f t="shared" si="26"/>
        <v>100</v>
      </c>
      <c r="I243" s="146">
        <f t="shared" si="26"/>
        <v>202.04082</v>
      </c>
      <c r="J243" s="146">
        <f t="shared" si="26"/>
        <v>100</v>
      </c>
      <c r="K243" s="680">
        <f t="shared" si="20"/>
        <v>0</v>
      </c>
      <c r="L243" s="680">
        <f t="shared" si="21"/>
        <v>0</v>
      </c>
    </row>
    <row r="244" spans="1:12" s="63" customFormat="1" ht="31.5">
      <c r="A244" s="147" t="s">
        <v>1108</v>
      </c>
      <c r="B244" s="149">
        <v>934</v>
      </c>
      <c r="C244" s="149" t="s">
        <v>154</v>
      </c>
      <c r="D244" s="149" t="s">
        <v>154</v>
      </c>
      <c r="E244" s="512" t="s">
        <v>773</v>
      </c>
      <c r="F244" s="149"/>
      <c r="G244" s="150">
        <f>G245+G248+G250</f>
        <v>202.04082</v>
      </c>
      <c r="H244" s="150">
        <f>H245+H248+H250</f>
        <v>100</v>
      </c>
      <c r="I244" s="150">
        <f>I245+I248+I250</f>
        <v>202.04082</v>
      </c>
      <c r="J244" s="150">
        <f>J245+J248+J250</f>
        <v>100</v>
      </c>
      <c r="K244" s="680">
        <f t="shared" si="20"/>
        <v>0</v>
      </c>
      <c r="L244" s="680">
        <f t="shared" si="21"/>
        <v>0</v>
      </c>
    </row>
    <row r="245" spans="1:12" s="63" customFormat="1" ht="28.5" customHeight="1">
      <c r="A245" s="147" t="s">
        <v>646</v>
      </c>
      <c r="B245" s="149" t="s">
        <v>140</v>
      </c>
      <c r="C245" s="149" t="s">
        <v>154</v>
      </c>
      <c r="D245" s="149" t="s">
        <v>154</v>
      </c>
      <c r="E245" s="512" t="s">
        <v>393</v>
      </c>
      <c r="F245" s="149"/>
      <c r="G245" s="169">
        <f>G246+G247</f>
        <v>100</v>
      </c>
      <c r="H245" s="169">
        <f>H246</f>
        <v>0</v>
      </c>
      <c r="I245" s="169">
        <f>I246+I247</f>
        <v>100</v>
      </c>
      <c r="J245" s="169">
        <f>J246</f>
        <v>0</v>
      </c>
      <c r="K245" s="680">
        <f t="shared" si="20"/>
        <v>0</v>
      </c>
      <c r="L245" s="680">
        <f t="shared" si="21"/>
        <v>0</v>
      </c>
    </row>
    <row r="246" spans="1:12" s="170" customFormat="1" ht="31.5">
      <c r="A246" s="123" t="s">
        <v>209</v>
      </c>
      <c r="B246" s="70">
        <v>934</v>
      </c>
      <c r="C246" s="68" t="s">
        <v>154</v>
      </c>
      <c r="D246" s="68" t="s">
        <v>154</v>
      </c>
      <c r="E246" s="373" t="s">
        <v>393</v>
      </c>
      <c r="F246" s="68" t="s">
        <v>312</v>
      </c>
      <c r="G246" s="169">
        <v>70</v>
      </c>
      <c r="H246" s="169">
        <v>0</v>
      </c>
      <c r="I246" s="169">
        <v>70</v>
      </c>
      <c r="J246" s="169">
        <v>0</v>
      </c>
      <c r="K246" s="680">
        <f t="shared" si="20"/>
        <v>0</v>
      </c>
      <c r="L246" s="680">
        <f t="shared" si="21"/>
        <v>0</v>
      </c>
    </row>
    <row r="247" spans="1:12" s="170" customFormat="1">
      <c r="A247" s="48" t="s">
        <v>130</v>
      </c>
      <c r="B247" s="70">
        <v>934</v>
      </c>
      <c r="C247" s="68" t="s">
        <v>154</v>
      </c>
      <c r="D247" s="68" t="s">
        <v>154</v>
      </c>
      <c r="E247" s="373" t="s">
        <v>393</v>
      </c>
      <c r="F247" s="68" t="s">
        <v>746</v>
      </c>
      <c r="G247" s="169">
        <v>30</v>
      </c>
      <c r="H247" s="169">
        <v>0</v>
      </c>
      <c r="I247" s="169">
        <v>30</v>
      </c>
      <c r="J247" s="169"/>
      <c r="K247" s="680">
        <f t="shared" si="20"/>
        <v>0</v>
      </c>
      <c r="L247" s="680">
        <f t="shared" si="21"/>
        <v>0</v>
      </c>
    </row>
    <row r="248" spans="1:12" s="170" customFormat="1" ht="31.5">
      <c r="A248" s="186" t="s">
        <v>770</v>
      </c>
      <c r="B248" s="70">
        <v>934</v>
      </c>
      <c r="C248" s="68" t="s">
        <v>154</v>
      </c>
      <c r="D248" s="68" t="s">
        <v>154</v>
      </c>
      <c r="E248" s="68" t="s">
        <v>774</v>
      </c>
      <c r="F248" s="168"/>
      <c r="G248" s="169">
        <f>G249</f>
        <v>100</v>
      </c>
      <c r="H248" s="169">
        <f>H249</f>
        <v>100</v>
      </c>
      <c r="I248" s="169">
        <f>I249</f>
        <v>100</v>
      </c>
      <c r="J248" s="169">
        <f>J249</f>
        <v>100</v>
      </c>
      <c r="K248" s="680">
        <f t="shared" si="20"/>
        <v>0</v>
      </c>
      <c r="L248" s="680">
        <f t="shared" si="21"/>
        <v>0</v>
      </c>
    </row>
    <row r="249" spans="1:12" s="170" customFormat="1" ht="31.5">
      <c r="A249" s="123" t="s">
        <v>209</v>
      </c>
      <c r="B249" s="70">
        <v>934</v>
      </c>
      <c r="C249" s="68" t="s">
        <v>154</v>
      </c>
      <c r="D249" s="68" t="s">
        <v>154</v>
      </c>
      <c r="E249" s="68" t="s">
        <v>774</v>
      </c>
      <c r="F249" s="68" t="s">
        <v>312</v>
      </c>
      <c r="G249" s="81">
        <v>100</v>
      </c>
      <c r="H249" s="81">
        <f>G249</f>
        <v>100</v>
      </c>
      <c r="I249" s="81">
        <v>100</v>
      </c>
      <c r="J249" s="81">
        <f>I249</f>
        <v>100</v>
      </c>
      <c r="K249" s="680">
        <f t="shared" si="20"/>
        <v>0</v>
      </c>
      <c r="L249" s="680">
        <f t="shared" si="21"/>
        <v>0</v>
      </c>
    </row>
    <row r="250" spans="1:12" s="170" customFormat="1" ht="31.5">
      <c r="A250" s="123" t="s">
        <v>775</v>
      </c>
      <c r="B250" s="70">
        <v>934</v>
      </c>
      <c r="C250" s="68" t="s">
        <v>154</v>
      </c>
      <c r="D250" s="68" t="s">
        <v>154</v>
      </c>
      <c r="E250" s="68" t="s">
        <v>774</v>
      </c>
      <c r="F250" s="68"/>
      <c r="G250" s="81">
        <f>G251</f>
        <v>2.0408200000000001</v>
      </c>
      <c r="H250" s="81">
        <v>0</v>
      </c>
      <c r="I250" s="81">
        <f>I251</f>
        <v>2.0408200000000001</v>
      </c>
      <c r="J250" s="81">
        <v>0</v>
      </c>
      <c r="K250" s="680">
        <f t="shared" si="20"/>
        <v>0</v>
      </c>
      <c r="L250" s="680">
        <f t="shared" si="21"/>
        <v>0</v>
      </c>
    </row>
    <row r="251" spans="1:12" s="170" customFormat="1" ht="31.5">
      <c r="A251" s="123" t="s">
        <v>209</v>
      </c>
      <c r="B251" s="70">
        <v>934</v>
      </c>
      <c r="C251" s="68" t="s">
        <v>154</v>
      </c>
      <c r="D251" s="68" t="s">
        <v>154</v>
      </c>
      <c r="E251" s="68" t="s">
        <v>774</v>
      </c>
      <c r="F251" s="68" t="s">
        <v>312</v>
      </c>
      <c r="G251" s="81">
        <v>2.0408200000000001</v>
      </c>
      <c r="H251" s="81">
        <v>0</v>
      </c>
      <c r="I251" s="81">
        <v>2.0408200000000001</v>
      </c>
      <c r="J251" s="81">
        <v>0</v>
      </c>
      <c r="K251" s="680">
        <f t="shared" si="20"/>
        <v>0</v>
      </c>
      <c r="L251" s="680">
        <f t="shared" si="21"/>
        <v>0</v>
      </c>
    </row>
    <row r="252" spans="1:12">
      <c r="A252" s="52" t="s">
        <v>271</v>
      </c>
      <c r="B252" s="75" t="s">
        <v>140</v>
      </c>
      <c r="C252" s="75" t="s">
        <v>163</v>
      </c>
      <c r="D252" s="75"/>
      <c r="E252" s="75"/>
      <c r="F252" s="75"/>
      <c r="G252" s="76">
        <f t="shared" ref="G252:J257" si="27">G253</f>
        <v>851929.14971000003</v>
      </c>
      <c r="H252" s="76">
        <f t="shared" si="27"/>
        <v>808833.5</v>
      </c>
      <c r="I252" s="76">
        <f t="shared" si="27"/>
        <v>77411.690709999995</v>
      </c>
      <c r="J252" s="76">
        <f t="shared" si="27"/>
        <v>30091.200000000001</v>
      </c>
      <c r="K252" s="680">
        <f t="shared" si="20"/>
        <v>774517.45900000003</v>
      </c>
      <c r="L252" s="680">
        <f t="shared" si="21"/>
        <v>778742.3</v>
      </c>
    </row>
    <row r="253" spans="1:12">
      <c r="A253" s="51" t="s">
        <v>305</v>
      </c>
      <c r="B253" s="78" t="s">
        <v>140</v>
      </c>
      <c r="C253" s="78" t="s">
        <v>163</v>
      </c>
      <c r="D253" s="78" t="s">
        <v>152</v>
      </c>
      <c r="E253" s="78"/>
      <c r="F253" s="78"/>
      <c r="G253" s="79">
        <f>G257+G272+G274+G254</f>
        <v>851929.14971000003</v>
      </c>
      <c r="H253" s="79">
        <f>H257+H272+H254</f>
        <v>808833.5</v>
      </c>
      <c r="I253" s="79">
        <f>I257+I272+I274</f>
        <v>77411.690709999995</v>
      </c>
      <c r="J253" s="79">
        <f>J257+J272</f>
        <v>30091.200000000001</v>
      </c>
      <c r="K253" s="680">
        <f t="shared" si="20"/>
        <v>774517.45900000003</v>
      </c>
      <c r="L253" s="680">
        <f t="shared" si="21"/>
        <v>778742.3</v>
      </c>
    </row>
    <row r="254" spans="1:12" ht="31.5">
      <c r="A254" s="342" t="s">
        <v>819</v>
      </c>
      <c r="B254" s="78"/>
      <c r="C254" s="78"/>
      <c r="D254" s="78"/>
      <c r="E254" s="78"/>
      <c r="F254" s="78"/>
      <c r="G254" s="79">
        <f>G255</f>
        <v>768088.8</v>
      </c>
      <c r="H254" s="79">
        <f>H255</f>
        <v>768088.8</v>
      </c>
      <c r="I254" s="79">
        <v>0</v>
      </c>
      <c r="J254" s="79">
        <v>0</v>
      </c>
      <c r="K254" s="680">
        <f t="shared" si="20"/>
        <v>768088.8</v>
      </c>
      <c r="L254" s="680">
        <f t="shared" si="21"/>
        <v>768088.8</v>
      </c>
    </row>
    <row r="255" spans="1:12" ht="47.25">
      <c r="A255" s="48" t="s">
        <v>896</v>
      </c>
      <c r="B255" s="68" t="s">
        <v>140</v>
      </c>
      <c r="C255" s="68" t="s">
        <v>163</v>
      </c>
      <c r="D255" s="68" t="s">
        <v>152</v>
      </c>
      <c r="E255" s="68" t="s">
        <v>1027</v>
      </c>
      <c r="F255" s="78"/>
      <c r="G255" s="79">
        <f>G256</f>
        <v>768088.8</v>
      </c>
      <c r="H255" s="79">
        <f>H256</f>
        <v>768088.8</v>
      </c>
      <c r="I255" s="79">
        <v>0</v>
      </c>
      <c r="J255" s="79">
        <v>0</v>
      </c>
      <c r="K255" s="680">
        <f t="shared" si="20"/>
        <v>768088.8</v>
      </c>
      <c r="L255" s="680">
        <f t="shared" si="21"/>
        <v>768088.8</v>
      </c>
    </row>
    <row r="256" spans="1:12" ht="31.5">
      <c r="A256" s="812" t="s">
        <v>523</v>
      </c>
      <c r="B256" s="68" t="s">
        <v>140</v>
      </c>
      <c r="C256" s="68" t="s">
        <v>163</v>
      </c>
      <c r="D256" s="68" t="s">
        <v>152</v>
      </c>
      <c r="E256" s="68" t="s">
        <v>1027</v>
      </c>
      <c r="F256" s="78" t="s">
        <v>71</v>
      </c>
      <c r="G256" s="79">
        <v>768088.8</v>
      </c>
      <c r="H256" s="79">
        <f>G256</f>
        <v>768088.8</v>
      </c>
      <c r="I256" s="79">
        <v>0</v>
      </c>
      <c r="J256" s="79">
        <v>0</v>
      </c>
      <c r="K256" s="680">
        <f t="shared" si="20"/>
        <v>768088.8</v>
      </c>
      <c r="L256" s="680">
        <f t="shared" si="21"/>
        <v>768088.8</v>
      </c>
    </row>
    <row r="257" spans="1:12" s="63" customFormat="1" ht="35.25" customHeight="1">
      <c r="A257" s="142" t="s">
        <v>1127</v>
      </c>
      <c r="B257" s="143">
        <v>934</v>
      </c>
      <c r="C257" s="144" t="s">
        <v>163</v>
      </c>
      <c r="D257" s="144" t="s">
        <v>152</v>
      </c>
      <c r="E257" s="144" t="s">
        <v>404</v>
      </c>
      <c r="F257" s="144"/>
      <c r="G257" s="146">
        <f t="shared" si="27"/>
        <v>83240.349709999995</v>
      </c>
      <c r="H257" s="146">
        <f t="shared" si="27"/>
        <v>40744.699999999997</v>
      </c>
      <c r="I257" s="146">
        <f t="shared" si="27"/>
        <v>71811.690709999995</v>
      </c>
      <c r="J257" s="146">
        <f t="shared" si="27"/>
        <v>30091.200000000001</v>
      </c>
      <c r="K257" s="680">
        <f t="shared" si="20"/>
        <v>11428.659</v>
      </c>
      <c r="L257" s="680">
        <f t="shared" si="21"/>
        <v>10653.499999999996</v>
      </c>
    </row>
    <row r="258" spans="1:12" s="63" customFormat="1" ht="35.25" customHeight="1">
      <c r="A258" s="142" t="s">
        <v>682</v>
      </c>
      <c r="B258" s="143">
        <v>934</v>
      </c>
      <c r="C258" s="144" t="s">
        <v>163</v>
      </c>
      <c r="D258" s="144" t="s">
        <v>152</v>
      </c>
      <c r="E258" s="144" t="s">
        <v>404</v>
      </c>
      <c r="F258" s="144"/>
      <c r="G258" s="146">
        <f>G259+G261+G264+G266+G268+G270</f>
        <v>83240.349709999995</v>
      </c>
      <c r="H258" s="146">
        <f>H259+H261+H264+H266+H268+H270</f>
        <v>40744.699999999997</v>
      </c>
      <c r="I258" s="146">
        <f>I259+I261+I264+I266</f>
        <v>71811.690709999995</v>
      </c>
      <c r="J258" s="146">
        <f>J259+J261+J264+J266</f>
        <v>30091.200000000001</v>
      </c>
      <c r="K258" s="680">
        <f t="shared" si="20"/>
        <v>11428.659</v>
      </c>
      <c r="L258" s="680">
        <f t="shared" si="21"/>
        <v>10653.499999999996</v>
      </c>
    </row>
    <row r="259" spans="1:12" ht="47.25">
      <c r="A259" s="49" t="s">
        <v>97</v>
      </c>
      <c r="B259" s="67" t="s">
        <v>140</v>
      </c>
      <c r="C259" s="67" t="s">
        <v>163</v>
      </c>
      <c r="D259" s="67" t="s">
        <v>152</v>
      </c>
      <c r="E259" s="67" t="s">
        <v>394</v>
      </c>
      <c r="F259" s="67"/>
      <c r="G259" s="93">
        <f>G260</f>
        <v>19913.099999999999</v>
      </c>
      <c r="H259" s="93">
        <f>H260</f>
        <v>0</v>
      </c>
      <c r="I259" s="93">
        <f>I260</f>
        <v>19913.099999999999</v>
      </c>
      <c r="J259" s="93">
        <f>J260</f>
        <v>0</v>
      </c>
      <c r="K259" s="680">
        <f t="shared" si="20"/>
        <v>0</v>
      </c>
      <c r="L259" s="680">
        <f t="shared" si="21"/>
        <v>0</v>
      </c>
    </row>
    <row r="260" spans="1:12" ht="47.25">
      <c r="A260" s="48" t="s">
        <v>204</v>
      </c>
      <c r="B260" s="68" t="s">
        <v>140</v>
      </c>
      <c r="C260" s="68" t="s">
        <v>163</v>
      </c>
      <c r="D260" s="68" t="s">
        <v>152</v>
      </c>
      <c r="E260" s="68" t="s">
        <v>394</v>
      </c>
      <c r="F260" s="68" t="s">
        <v>319</v>
      </c>
      <c r="G260" s="81">
        <f>3288+3112+13513.1</f>
        <v>19913.099999999999</v>
      </c>
      <c r="H260" s="81">
        <v>0</v>
      </c>
      <c r="I260" s="81">
        <f>3288+3112+13513.1</f>
        <v>19913.099999999999</v>
      </c>
      <c r="J260" s="81">
        <v>0</v>
      </c>
      <c r="K260" s="680">
        <f t="shared" si="20"/>
        <v>0</v>
      </c>
      <c r="L260" s="680">
        <f t="shared" si="21"/>
        <v>0</v>
      </c>
    </row>
    <row r="261" spans="1:12" ht="32.25" customHeight="1">
      <c r="A261" s="49" t="s">
        <v>69</v>
      </c>
      <c r="B261" s="67" t="s">
        <v>140</v>
      </c>
      <c r="C261" s="67" t="s">
        <v>163</v>
      </c>
      <c r="D261" s="67" t="s">
        <v>152</v>
      </c>
      <c r="E261" s="68" t="s">
        <v>395</v>
      </c>
      <c r="F261" s="67"/>
      <c r="G261" s="80">
        <f>G262+G263</f>
        <v>5644.5497099999993</v>
      </c>
      <c r="H261" s="80">
        <f>H262</f>
        <v>0</v>
      </c>
      <c r="I261" s="80">
        <f>I262+I263</f>
        <v>4869.3907099999997</v>
      </c>
      <c r="J261" s="80">
        <f>J262</f>
        <v>0</v>
      </c>
      <c r="K261" s="680">
        <f t="shared" si="20"/>
        <v>775.15899999999965</v>
      </c>
      <c r="L261" s="680">
        <f t="shared" si="21"/>
        <v>0</v>
      </c>
    </row>
    <row r="262" spans="1:12" ht="53.25" customHeight="1">
      <c r="A262" s="48" t="s">
        <v>204</v>
      </c>
      <c r="B262" s="68" t="s">
        <v>140</v>
      </c>
      <c r="C262" s="68" t="s">
        <v>163</v>
      </c>
      <c r="D262" s="68" t="s">
        <v>152</v>
      </c>
      <c r="E262" s="68" t="s">
        <v>395</v>
      </c>
      <c r="F262" s="68" t="s">
        <v>319</v>
      </c>
      <c r="G262" s="535">
        <f>3299.31236+300.15722+1269.92113</f>
        <v>4869.3907099999997</v>
      </c>
      <c r="H262" s="81">
        <v>0</v>
      </c>
      <c r="I262" s="535">
        <f>3299.31236+300.15722+1269.92113</f>
        <v>4869.3907099999997</v>
      </c>
      <c r="J262" s="81">
        <v>0</v>
      </c>
      <c r="K262" s="680">
        <f t="shared" si="20"/>
        <v>0</v>
      </c>
      <c r="L262" s="680">
        <f t="shared" si="21"/>
        <v>0</v>
      </c>
    </row>
    <row r="263" spans="1:12">
      <c r="A263" s="48" t="s">
        <v>205</v>
      </c>
      <c r="B263" s="68" t="s">
        <v>140</v>
      </c>
      <c r="C263" s="68" t="s">
        <v>163</v>
      </c>
      <c r="D263" s="68" t="s">
        <v>152</v>
      </c>
      <c r="E263" s="68" t="s">
        <v>395</v>
      </c>
      <c r="F263" s="68" t="s">
        <v>202</v>
      </c>
      <c r="G263" s="535">
        <v>775.15899999999999</v>
      </c>
      <c r="H263" s="81">
        <v>0</v>
      </c>
      <c r="I263" s="535"/>
      <c r="J263" s="81"/>
      <c r="K263" s="680">
        <f t="shared" si="20"/>
        <v>775.15899999999999</v>
      </c>
      <c r="L263" s="680">
        <f t="shared" si="21"/>
        <v>0</v>
      </c>
    </row>
    <row r="264" spans="1:12" ht="31.5">
      <c r="A264" s="49" t="s">
        <v>410</v>
      </c>
      <c r="B264" s="69">
        <v>934</v>
      </c>
      <c r="C264" s="67" t="s">
        <v>163</v>
      </c>
      <c r="D264" s="67" t="s">
        <v>152</v>
      </c>
      <c r="E264" s="120" t="s">
        <v>530</v>
      </c>
      <c r="F264" s="67"/>
      <c r="G264" s="119">
        <f>G265</f>
        <v>30091.200000000001</v>
      </c>
      <c r="H264" s="119">
        <f>H265</f>
        <v>30091.200000000001</v>
      </c>
      <c r="I264" s="119">
        <f>I265</f>
        <v>30091.200000000001</v>
      </c>
      <c r="J264" s="119">
        <f>J265</f>
        <v>30091.200000000001</v>
      </c>
      <c r="K264" s="680">
        <f t="shared" si="20"/>
        <v>0</v>
      </c>
      <c r="L264" s="680">
        <f t="shared" si="21"/>
        <v>0</v>
      </c>
    </row>
    <row r="265" spans="1:12">
      <c r="A265" s="48" t="s">
        <v>205</v>
      </c>
      <c r="B265" s="124">
        <v>934</v>
      </c>
      <c r="C265" s="120" t="s">
        <v>163</v>
      </c>
      <c r="D265" s="120" t="s">
        <v>152</v>
      </c>
      <c r="E265" s="120" t="s">
        <v>530</v>
      </c>
      <c r="F265" s="120" t="s">
        <v>202</v>
      </c>
      <c r="G265" s="119">
        <v>30091.200000000001</v>
      </c>
      <c r="H265" s="119">
        <f>G265</f>
        <v>30091.200000000001</v>
      </c>
      <c r="I265" s="119">
        <v>30091.200000000001</v>
      </c>
      <c r="J265" s="119">
        <f>I265</f>
        <v>30091.200000000001</v>
      </c>
      <c r="K265" s="680">
        <f t="shared" si="20"/>
        <v>0</v>
      </c>
      <c r="L265" s="680">
        <f t="shared" si="21"/>
        <v>0</v>
      </c>
    </row>
    <row r="266" spans="1:12" ht="31.5">
      <c r="A266" s="48" t="s">
        <v>488</v>
      </c>
      <c r="B266" s="70">
        <v>934</v>
      </c>
      <c r="C266" s="68" t="s">
        <v>163</v>
      </c>
      <c r="D266" s="68" t="s">
        <v>152</v>
      </c>
      <c r="E266" s="120" t="s">
        <v>530</v>
      </c>
      <c r="F266" s="68"/>
      <c r="G266" s="119">
        <f>G267</f>
        <v>16938</v>
      </c>
      <c r="H266" s="119">
        <f>H267</f>
        <v>0</v>
      </c>
      <c r="I266" s="119">
        <f>I267</f>
        <v>16938</v>
      </c>
      <c r="J266" s="119">
        <f>J267</f>
        <v>0</v>
      </c>
      <c r="K266" s="680">
        <f t="shared" si="20"/>
        <v>0</v>
      </c>
      <c r="L266" s="680">
        <f t="shared" si="21"/>
        <v>0</v>
      </c>
    </row>
    <row r="267" spans="1:12">
      <c r="A267" s="48" t="s">
        <v>205</v>
      </c>
      <c r="B267" s="124">
        <v>934</v>
      </c>
      <c r="C267" s="120" t="s">
        <v>163</v>
      </c>
      <c r="D267" s="120" t="s">
        <v>152</v>
      </c>
      <c r="E267" s="120" t="s">
        <v>530</v>
      </c>
      <c r="F267" s="120" t="s">
        <v>202</v>
      </c>
      <c r="G267" s="119">
        <v>16938</v>
      </c>
      <c r="H267" s="119">
        <v>0</v>
      </c>
      <c r="I267" s="119">
        <v>16938</v>
      </c>
      <c r="J267" s="119">
        <v>0</v>
      </c>
      <c r="K267" s="680">
        <f t="shared" si="20"/>
        <v>0</v>
      </c>
      <c r="L267" s="680">
        <f t="shared" si="21"/>
        <v>0</v>
      </c>
    </row>
    <row r="268" spans="1:12" ht="53.25" customHeight="1">
      <c r="A268" s="48" t="s">
        <v>1244</v>
      </c>
      <c r="B268" s="70">
        <v>934</v>
      </c>
      <c r="C268" s="68" t="s">
        <v>163</v>
      </c>
      <c r="D268" s="68" t="s">
        <v>152</v>
      </c>
      <c r="E268" s="120" t="s">
        <v>1259</v>
      </c>
      <c r="F268" s="120"/>
      <c r="G268" s="119">
        <f>G269</f>
        <v>233.6</v>
      </c>
      <c r="H268" s="119">
        <f>H269</f>
        <v>233.6</v>
      </c>
      <c r="I268" s="119"/>
      <c r="J268" s="119"/>
      <c r="K268" s="680">
        <f t="shared" si="20"/>
        <v>233.6</v>
      </c>
      <c r="L268" s="680">
        <f t="shared" si="21"/>
        <v>233.6</v>
      </c>
    </row>
    <row r="269" spans="1:12" ht="15" customHeight="1">
      <c r="A269" s="48" t="s">
        <v>205</v>
      </c>
      <c r="B269" s="124">
        <v>934</v>
      </c>
      <c r="C269" s="120" t="s">
        <v>163</v>
      </c>
      <c r="D269" s="120" t="s">
        <v>152</v>
      </c>
      <c r="E269" s="120" t="s">
        <v>1259</v>
      </c>
      <c r="F269" s="120" t="s">
        <v>202</v>
      </c>
      <c r="G269" s="119">
        <v>233.6</v>
      </c>
      <c r="H269" s="119">
        <f>G269</f>
        <v>233.6</v>
      </c>
      <c r="I269" s="119"/>
      <c r="J269" s="119"/>
      <c r="K269" s="680">
        <f t="shared" si="20"/>
        <v>233.6</v>
      </c>
      <c r="L269" s="680">
        <f t="shared" si="21"/>
        <v>233.6</v>
      </c>
    </row>
    <row r="270" spans="1:12">
      <c r="A270" s="48" t="s">
        <v>1245</v>
      </c>
      <c r="B270" s="124">
        <v>934</v>
      </c>
      <c r="C270" s="120" t="s">
        <v>163</v>
      </c>
      <c r="D270" s="120" t="s">
        <v>152</v>
      </c>
      <c r="E270" s="120" t="s">
        <v>1259</v>
      </c>
      <c r="F270" s="120"/>
      <c r="G270" s="119">
        <f>G271</f>
        <v>10419.9</v>
      </c>
      <c r="H270" s="119">
        <f>H271</f>
        <v>10419.9</v>
      </c>
      <c r="I270" s="119"/>
      <c r="J270" s="119"/>
      <c r="K270" s="680">
        <f t="shared" ref="K270:K333" si="28">G270-I270</f>
        <v>10419.9</v>
      </c>
      <c r="L270" s="680">
        <f t="shared" si="21"/>
        <v>10419.9</v>
      </c>
    </row>
    <row r="271" spans="1:12">
      <c r="A271" s="48" t="s">
        <v>205</v>
      </c>
      <c r="B271" s="124">
        <v>934</v>
      </c>
      <c r="C271" s="120" t="s">
        <v>163</v>
      </c>
      <c r="D271" s="120" t="s">
        <v>152</v>
      </c>
      <c r="E271" s="120" t="s">
        <v>1259</v>
      </c>
      <c r="F271" s="120" t="s">
        <v>202</v>
      </c>
      <c r="G271" s="119">
        <v>10419.9</v>
      </c>
      <c r="H271" s="119">
        <f>G271</f>
        <v>10419.9</v>
      </c>
      <c r="I271" s="119"/>
      <c r="J271" s="119"/>
      <c r="K271" s="680">
        <f t="shared" si="28"/>
        <v>10419.9</v>
      </c>
      <c r="L271" s="680">
        <f t="shared" si="21"/>
        <v>10419.9</v>
      </c>
    </row>
    <row r="272" spans="1:12" ht="47.25">
      <c r="A272" s="342" t="s">
        <v>1102</v>
      </c>
      <c r="B272" s="153" t="s">
        <v>140</v>
      </c>
      <c r="C272" s="153" t="s">
        <v>163</v>
      </c>
      <c r="D272" s="153" t="s">
        <v>152</v>
      </c>
      <c r="E272" s="160" t="s">
        <v>391</v>
      </c>
      <c r="F272" s="153"/>
      <c r="G272" s="162">
        <f>G273</f>
        <v>600</v>
      </c>
      <c r="H272" s="162">
        <f>H274+H276+H278+H280</f>
        <v>0</v>
      </c>
      <c r="I272" s="162">
        <f>I273</f>
        <v>600</v>
      </c>
      <c r="J272" s="162">
        <f>J274+J276+J278+J280</f>
        <v>0</v>
      </c>
      <c r="K272" s="680">
        <f t="shared" si="28"/>
        <v>0</v>
      </c>
      <c r="L272" s="680">
        <f t="shared" si="21"/>
        <v>0</v>
      </c>
    </row>
    <row r="273" spans="1:12">
      <c r="A273" s="48" t="s">
        <v>205</v>
      </c>
      <c r="B273" s="68" t="s">
        <v>140</v>
      </c>
      <c r="C273" s="68" t="s">
        <v>163</v>
      </c>
      <c r="D273" s="68" t="s">
        <v>152</v>
      </c>
      <c r="E273" s="68" t="s">
        <v>391</v>
      </c>
      <c r="F273" s="172" t="s">
        <v>202</v>
      </c>
      <c r="G273" s="167">
        <v>600</v>
      </c>
      <c r="H273" s="167">
        <v>0</v>
      </c>
      <c r="I273" s="167">
        <v>600</v>
      </c>
      <c r="J273" s="162">
        <v>0</v>
      </c>
      <c r="K273" s="680">
        <f t="shared" si="28"/>
        <v>0</v>
      </c>
      <c r="L273" s="680">
        <f t="shared" si="21"/>
        <v>0</v>
      </c>
    </row>
    <row r="274" spans="1:12" ht="31.5">
      <c r="A274" s="342" t="s">
        <v>819</v>
      </c>
      <c r="B274" s="143">
        <v>934</v>
      </c>
      <c r="C274" s="144" t="s">
        <v>163</v>
      </c>
      <c r="D274" s="144" t="s">
        <v>152</v>
      </c>
      <c r="E274" s="153" t="s">
        <v>429</v>
      </c>
      <c r="F274" s="153"/>
      <c r="G274" s="162">
        <f>G281</f>
        <v>0</v>
      </c>
      <c r="H274" s="162">
        <f t="shared" ref="H274:J274" si="29">H275</f>
        <v>0</v>
      </c>
      <c r="I274" s="162">
        <f>I281</f>
        <v>5000</v>
      </c>
      <c r="J274" s="162">
        <f t="shared" si="29"/>
        <v>0</v>
      </c>
      <c r="K274" s="680">
        <f t="shared" si="28"/>
        <v>-5000</v>
      </c>
      <c r="L274" s="680">
        <f t="shared" si="21"/>
        <v>0</v>
      </c>
    </row>
    <row r="275" spans="1:12" hidden="1">
      <c r="A275" s="48" t="s">
        <v>205</v>
      </c>
      <c r="B275" s="68" t="s">
        <v>140</v>
      </c>
      <c r="C275" s="68" t="s">
        <v>163</v>
      </c>
      <c r="D275" s="68" t="s">
        <v>152</v>
      </c>
      <c r="E275" s="68" t="s">
        <v>545</v>
      </c>
      <c r="F275" s="120" t="s">
        <v>202</v>
      </c>
      <c r="G275" s="119"/>
      <c r="H275" s="119">
        <f>G275</f>
        <v>0</v>
      </c>
      <c r="I275" s="119"/>
      <c r="J275" s="119">
        <f>I275</f>
        <v>0</v>
      </c>
      <c r="K275" s="680">
        <f t="shared" si="28"/>
        <v>0</v>
      </c>
      <c r="L275" s="680">
        <f t="shared" si="21"/>
        <v>0</v>
      </c>
    </row>
    <row r="276" spans="1:12" ht="50.25" hidden="1" customHeight="1">
      <c r="A276" s="48" t="s">
        <v>896</v>
      </c>
      <c r="B276" s="68" t="s">
        <v>140</v>
      </c>
      <c r="C276" s="68" t="s">
        <v>163</v>
      </c>
      <c r="D276" s="68" t="s">
        <v>152</v>
      </c>
      <c r="E276" s="68" t="s">
        <v>1027</v>
      </c>
      <c r="F276" s="120"/>
      <c r="G276" s="119">
        <f>G277</f>
        <v>0</v>
      </c>
      <c r="H276" s="119">
        <f>H277</f>
        <v>0</v>
      </c>
      <c r="I276" s="119">
        <f>I277</f>
        <v>0</v>
      </c>
      <c r="J276" s="119">
        <f>J277</f>
        <v>0</v>
      </c>
      <c r="K276" s="680">
        <f t="shared" si="28"/>
        <v>0</v>
      </c>
      <c r="L276" s="680">
        <f t="shared" si="21"/>
        <v>0</v>
      </c>
    </row>
    <row r="277" spans="1:12" ht="31.5" hidden="1">
      <c r="A277" s="717" t="s">
        <v>523</v>
      </c>
      <c r="B277" s="68" t="s">
        <v>140</v>
      </c>
      <c r="C277" s="68" t="s">
        <v>163</v>
      </c>
      <c r="D277" s="68" t="s">
        <v>152</v>
      </c>
      <c r="E277" s="68" t="s">
        <v>1027</v>
      </c>
      <c r="F277" s="120" t="s">
        <v>71</v>
      </c>
      <c r="G277" s="119"/>
      <c r="H277" s="119">
        <f>G277</f>
        <v>0</v>
      </c>
      <c r="I277" s="119"/>
      <c r="J277" s="119">
        <f>I277</f>
        <v>0</v>
      </c>
      <c r="K277" s="680">
        <f t="shared" si="28"/>
        <v>0</v>
      </c>
      <c r="L277" s="680">
        <f t="shared" ref="L277:L345" si="30">H277-J277</f>
        <v>0</v>
      </c>
    </row>
    <row r="278" spans="1:12" ht="53.25" hidden="1" customHeight="1">
      <c r="A278" s="48" t="s">
        <v>896</v>
      </c>
      <c r="B278" s="68" t="s">
        <v>140</v>
      </c>
      <c r="C278" s="68" t="s">
        <v>163</v>
      </c>
      <c r="D278" s="68" t="s">
        <v>152</v>
      </c>
      <c r="E278" s="68" t="s">
        <v>1028</v>
      </c>
      <c r="F278" s="120"/>
      <c r="G278" s="119">
        <f>G279</f>
        <v>0</v>
      </c>
      <c r="H278" s="119">
        <f>H279</f>
        <v>0</v>
      </c>
      <c r="I278" s="119">
        <f>I279</f>
        <v>0</v>
      </c>
      <c r="J278" s="119">
        <f>J279</f>
        <v>0</v>
      </c>
      <c r="K278" s="680">
        <f t="shared" si="28"/>
        <v>0</v>
      </c>
      <c r="L278" s="680">
        <f t="shared" si="30"/>
        <v>0</v>
      </c>
    </row>
    <row r="279" spans="1:12" ht="31.5" hidden="1">
      <c r="A279" s="717" t="s">
        <v>523</v>
      </c>
      <c r="B279" s="68" t="s">
        <v>140</v>
      </c>
      <c r="C279" s="68" t="s">
        <v>163</v>
      </c>
      <c r="D279" s="68" t="s">
        <v>152</v>
      </c>
      <c r="E279" s="68" t="s">
        <v>1028</v>
      </c>
      <c r="F279" s="120" t="s">
        <v>71</v>
      </c>
      <c r="G279" s="119"/>
      <c r="H279" s="119">
        <f>G279</f>
        <v>0</v>
      </c>
      <c r="I279" s="119"/>
      <c r="J279" s="119">
        <f>I279</f>
        <v>0</v>
      </c>
      <c r="K279" s="680">
        <f t="shared" si="28"/>
        <v>0</v>
      </c>
      <c r="L279" s="680">
        <f t="shared" si="30"/>
        <v>0</v>
      </c>
    </row>
    <row r="280" spans="1:12" ht="31.5" hidden="1">
      <c r="A280" s="717" t="s">
        <v>523</v>
      </c>
      <c r="B280" s="68" t="s">
        <v>140</v>
      </c>
      <c r="C280" s="68" t="s">
        <v>163</v>
      </c>
      <c r="D280" s="68" t="s">
        <v>152</v>
      </c>
      <c r="E280" s="68" t="s">
        <v>429</v>
      </c>
      <c r="F280" s="120" t="s">
        <v>71</v>
      </c>
      <c r="G280" s="119"/>
      <c r="H280" s="119"/>
      <c r="I280" s="119"/>
      <c r="J280" s="119"/>
      <c r="K280" s="680">
        <f t="shared" si="28"/>
        <v>0</v>
      </c>
      <c r="L280" s="680">
        <f t="shared" si="30"/>
        <v>0</v>
      </c>
    </row>
    <row r="281" spans="1:12" hidden="1">
      <c r="A281" s="48" t="s">
        <v>205</v>
      </c>
      <c r="B281" s="68" t="s">
        <v>140</v>
      </c>
      <c r="C281" s="68" t="s">
        <v>163</v>
      </c>
      <c r="D281" s="68" t="s">
        <v>152</v>
      </c>
      <c r="E281" s="68" t="s">
        <v>429</v>
      </c>
      <c r="F281" s="120" t="s">
        <v>202</v>
      </c>
      <c r="G281" s="119">
        <v>0</v>
      </c>
      <c r="H281" s="119">
        <v>0</v>
      </c>
      <c r="I281" s="119">
        <v>5000</v>
      </c>
      <c r="J281" s="119">
        <v>0</v>
      </c>
      <c r="K281" s="680">
        <f t="shared" si="28"/>
        <v>-5000</v>
      </c>
      <c r="L281" s="680">
        <f t="shared" si="30"/>
        <v>0</v>
      </c>
    </row>
    <row r="282" spans="1:12">
      <c r="A282" s="799" t="s">
        <v>1252</v>
      </c>
      <c r="B282" s="75" t="s">
        <v>140</v>
      </c>
      <c r="C282" s="75" t="s">
        <v>156</v>
      </c>
      <c r="D282" s="75"/>
      <c r="E282" s="75"/>
      <c r="F282" s="271"/>
      <c r="G282" s="94">
        <f>G283</f>
        <v>10</v>
      </c>
      <c r="H282" s="94">
        <v>0</v>
      </c>
      <c r="I282" s="119"/>
      <c r="J282" s="119"/>
      <c r="K282" s="680">
        <f t="shared" si="28"/>
        <v>10</v>
      </c>
      <c r="L282" s="680">
        <f t="shared" si="30"/>
        <v>0</v>
      </c>
    </row>
    <row r="283" spans="1:12">
      <c r="A283" s="799" t="s">
        <v>1251</v>
      </c>
      <c r="B283" s="75" t="s">
        <v>140</v>
      </c>
      <c r="C283" s="75" t="s">
        <v>156</v>
      </c>
      <c r="D283" s="75" t="s">
        <v>156</v>
      </c>
      <c r="E283" s="480"/>
      <c r="F283" s="271"/>
      <c r="G283" s="94">
        <f>G284</f>
        <v>10</v>
      </c>
      <c r="H283" s="94">
        <v>0</v>
      </c>
      <c r="I283" s="119"/>
      <c r="J283" s="119"/>
      <c r="K283" s="680">
        <f t="shared" si="28"/>
        <v>10</v>
      </c>
      <c r="L283" s="680">
        <f t="shared" si="30"/>
        <v>0</v>
      </c>
    </row>
    <row r="284" spans="1:12">
      <c r="A284" s="48" t="s">
        <v>359</v>
      </c>
      <c r="B284" s="68" t="s">
        <v>140</v>
      </c>
      <c r="C284" s="68" t="s">
        <v>156</v>
      </c>
      <c r="D284" s="802" t="s">
        <v>156</v>
      </c>
      <c r="E284" s="139" t="s">
        <v>384</v>
      </c>
      <c r="F284" s="803"/>
      <c r="G284" s="119">
        <f>G285</f>
        <v>10</v>
      </c>
      <c r="H284" s="119">
        <v>0</v>
      </c>
      <c r="I284" s="119"/>
      <c r="J284" s="119"/>
      <c r="K284" s="680">
        <f t="shared" si="28"/>
        <v>10</v>
      </c>
      <c r="L284" s="680">
        <f t="shared" si="30"/>
        <v>0</v>
      </c>
    </row>
    <row r="285" spans="1:12" ht="47.25">
      <c r="A285" s="801" t="s">
        <v>1266</v>
      </c>
      <c r="B285" s="68" t="s">
        <v>140</v>
      </c>
      <c r="C285" s="68" t="s">
        <v>156</v>
      </c>
      <c r="D285" s="68" t="s">
        <v>156</v>
      </c>
      <c r="E285" s="139" t="s">
        <v>1265</v>
      </c>
      <c r="F285" s="120"/>
      <c r="G285" s="119">
        <f>G286</f>
        <v>10</v>
      </c>
      <c r="H285" s="119">
        <v>0</v>
      </c>
      <c r="I285" s="119"/>
      <c r="J285" s="119"/>
      <c r="K285" s="680">
        <f t="shared" si="28"/>
        <v>10</v>
      </c>
      <c r="L285" s="680">
        <f t="shared" si="30"/>
        <v>0</v>
      </c>
    </row>
    <row r="286" spans="1:12" ht="31.5">
      <c r="A286" s="123" t="s">
        <v>209</v>
      </c>
      <c r="B286" s="68" t="s">
        <v>140</v>
      </c>
      <c r="C286" s="68" t="s">
        <v>156</v>
      </c>
      <c r="D286" s="68" t="s">
        <v>156</v>
      </c>
      <c r="E286" s="139" t="s">
        <v>1265</v>
      </c>
      <c r="F286" s="120" t="s">
        <v>312</v>
      </c>
      <c r="G286" s="119">
        <v>10</v>
      </c>
      <c r="H286" s="119">
        <v>0</v>
      </c>
      <c r="I286" s="119"/>
      <c r="J286" s="119"/>
      <c r="K286" s="680">
        <f t="shared" si="28"/>
        <v>10</v>
      </c>
      <c r="L286" s="680">
        <f t="shared" si="30"/>
        <v>0</v>
      </c>
    </row>
    <row r="287" spans="1:12">
      <c r="A287" s="52" t="s">
        <v>304</v>
      </c>
      <c r="B287" s="88" t="s">
        <v>140</v>
      </c>
      <c r="C287" s="88" t="s">
        <v>157</v>
      </c>
      <c r="D287" s="88"/>
      <c r="E287" s="88"/>
      <c r="F287" s="88"/>
      <c r="G287" s="94">
        <f>G288+G290+G312+G304</f>
        <v>9661.6026899999997</v>
      </c>
      <c r="H287" s="94">
        <f>H288+H290+H312+H304</f>
        <v>4104.8999999999996</v>
      </c>
      <c r="I287" s="94">
        <f>I288+I290+I312+I304</f>
        <v>9894.2000000000007</v>
      </c>
      <c r="J287" s="94">
        <f>J288+J290+J312+J304</f>
        <v>4644.2</v>
      </c>
      <c r="K287" s="680">
        <f t="shared" si="28"/>
        <v>-232.59731000000102</v>
      </c>
      <c r="L287" s="680">
        <f t="shared" si="30"/>
        <v>-539.30000000000018</v>
      </c>
    </row>
    <row r="288" spans="1:12">
      <c r="A288" s="51" t="s">
        <v>168</v>
      </c>
      <c r="B288" s="205" t="s">
        <v>140</v>
      </c>
      <c r="C288" s="205" t="s">
        <v>157</v>
      </c>
      <c r="D288" s="205" t="s">
        <v>152</v>
      </c>
      <c r="E288" s="205"/>
      <c r="F288" s="205"/>
      <c r="G288" s="94">
        <f>G289</f>
        <v>5100</v>
      </c>
      <c r="H288" s="94">
        <f>H289</f>
        <v>0</v>
      </c>
      <c r="I288" s="94">
        <f>I289</f>
        <v>5100</v>
      </c>
      <c r="J288" s="94">
        <f>J289</f>
        <v>0</v>
      </c>
      <c r="K288" s="680">
        <f t="shared" si="28"/>
        <v>0</v>
      </c>
      <c r="L288" s="680">
        <f t="shared" si="30"/>
        <v>0</v>
      </c>
    </row>
    <row r="289" spans="1:12" ht="31.5">
      <c r="A289" s="48" t="s">
        <v>340</v>
      </c>
      <c r="B289" s="68">
        <v>934</v>
      </c>
      <c r="C289" s="68" t="s">
        <v>157</v>
      </c>
      <c r="D289" s="68" t="s">
        <v>152</v>
      </c>
      <c r="E289" s="68" t="s">
        <v>396</v>
      </c>
      <c r="F289" s="68" t="s">
        <v>273</v>
      </c>
      <c r="G289" s="81">
        <v>5100</v>
      </c>
      <c r="H289" s="81">
        <v>0</v>
      </c>
      <c r="I289" s="81">
        <v>5100</v>
      </c>
      <c r="J289" s="81">
        <v>0</v>
      </c>
      <c r="K289" s="680">
        <f t="shared" si="28"/>
        <v>0</v>
      </c>
      <c r="L289" s="680">
        <f t="shared" si="30"/>
        <v>0</v>
      </c>
    </row>
    <row r="290" spans="1:12">
      <c r="A290" s="51" t="s">
        <v>302</v>
      </c>
      <c r="B290" s="78">
        <v>934</v>
      </c>
      <c r="C290" s="78" t="s">
        <v>157</v>
      </c>
      <c r="D290" s="78" t="s">
        <v>155</v>
      </c>
      <c r="E290" s="78"/>
      <c r="F290" s="78"/>
      <c r="G290" s="94">
        <f>G293+G301+G298+G291</f>
        <v>985.5</v>
      </c>
      <c r="H290" s="94">
        <f>H293+H301+H298</f>
        <v>815.5</v>
      </c>
      <c r="I290" s="94">
        <f>I293+I301+I298+I291</f>
        <v>965.5</v>
      </c>
      <c r="J290" s="94">
        <f>J293+J301+J298</f>
        <v>815.5</v>
      </c>
      <c r="K290" s="680">
        <f t="shared" si="28"/>
        <v>20</v>
      </c>
      <c r="L290" s="680">
        <f t="shared" si="30"/>
        <v>0</v>
      </c>
    </row>
    <row r="291" spans="1:12" ht="31.5">
      <c r="A291" s="138" t="s">
        <v>297</v>
      </c>
      <c r="B291" s="68">
        <v>934</v>
      </c>
      <c r="C291" s="89" t="s">
        <v>157</v>
      </c>
      <c r="D291" s="89" t="s">
        <v>155</v>
      </c>
      <c r="E291" s="697" t="s">
        <v>1</v>
      </c>
      <c r="F291" s="68"/>
      <c r="G291" s="119">
        <f>G292</f>
        <v>150</v>
      </c>
      <c r="H291" s="94">
        <v>0</v>
      </c>
      <c r="I291" s="119">
        <f>I292</f>
        <v>150</v>
      </c>
      <c r="J291" s="94">
        <v>0</v>
      </c>
      <c r="K291" s="680">
        <f t="shared" si="28"/>
        <v>0</v>
      </c>
      <c r="L291" s="680">
        <f t="shared" si="30"/>
        <v>0</v>
      </c>
    </row>
    <row r="292" spans="1:12">
      <c r="A292" s="48" t="s">
        <v>130</v>
      </c>
      <c r="B292" s="68">
        <v>934</v>
      </c>
      <c r="C292" s="89" t="s">
        <v>157</v>
      </c>
      <c r="D292" s="89" t="s">
        <v>155</v>
      </c>
      <c r="E292" s="697" t="s">
        <v>1</v>
      </c>
      <c r="F292" s="89" t="s">
        <v>746</v>
      </c>
      <c r="G292" s="119">
        <v>150</v>
      </c>
      <c r="H292" s="94">
        <v>0</v>
      </c>
      <c r="I292" s="119">
        <v>150</v>
      </c>
      <c r="J292" s="94">
        <v>0</v>
      </c>
      <c r="K292" s="680">
        <f t="shared" si="28"/>
        <v>0</v>
      </c>
      <c r="L292" s="680">
        <f t="shared" si="30"/>
        <v>0</v>
      </c>
    </row>
    <row r="293" spans="1:12" ht="31.5">
      <c r="A293" s="142" t="s">
        <v>1127</v>
      </c>
      <c r="B293" s="143">
        <v>934</v>
      </c>
      <c r="C293" s="144" t="s">
        <v>157</v>
      </c>
      <c r="D293" s="144" t="s">
        <v>155</v>
      </c>
      <c r="E293" s="144" t="s">
        <v>404</v>
      </c>
      <c r="F293" s="513"/>
      <c r="G293" s="162">
        <f t="shared" ref="G293:J294" si="31">G294</f>
        <v>587</v>
      </c>
      <c r="H293" s="162">
        <f t="shared" si="31"/>
        <v>587</v>
      </c>
      <c r="I293" s="162">
        <f t="shared" si="31"/>
        <v>587</v>
      </c>
      <c r="J293" s="162">
        <f t="shared" si="31"/>
        <v>587</v>
      </c>
      <c r="K293" s="680">
        <f t="shared" si="28"/>
        <v>0</v>
      </c>
      <c r="L293" s="680">
        <f t="shared" si="30"/>
        <v>0</v>
      </c>
    </row>
    <row r="294" spans="1:12">
      <c r="A294" s="142" t="s">
        <v>645</v>
      </c>
      <c r="B294" s="143">
        <v>934</v>
      </c>
      <c r="C294" s="144" t="s">
        <v>157</v>
      </c>
      <c r="D294" s="144" t="s">
        <v>155</v>
      </c>
      <c r="E294" s="144" t="s">
        <v>404</v>
      </c>
      <c r="F294" s="513"/>
      <c r="G294" s="162">
        <f t="shared" si="31"/>
        <v>587</v>
      </c>
      <c r="H294" s="162">
        <f t="shared" si="31"/>
        <v>587</v>
      </c>
      <c r="I294" s="162">
        <f t="shared" si="31"/>
        <v>587</v>
      </c>
      <c r="J294" s="162">
        <f t="shared" si="31"/>
        <v>587</v>
      </c>
      <c r="K294" s="680">
        <f t="shared" si="28"/>
        <v>0</v>
      </c>
      <c r="L294" s="680">
        <f t="shared" si="30"/>
        <v>0</v>
      </c>
    </row>
    <row r="295" spans="1:12" ht="177.75" customHeight="1">
      <c r="A295" s="247" t="s">
        <v>525</v>
      </c>
      <c r="B295" s="67">
        <v>934</v>
      </c>
      <c r="C295" s="87" t="s">
        <v>157</v>
      </c>
      <c r="D295" s="87" t="s">
        <v>155</v>
      </c>
      <c r="E295" s="67" t="s">
        <v>327</v>
      </c>
      <c r="F295" s="87"/>
      <c r="G295" s="80">
        <f>G296+G297</f>
        <v>587</v>
      </c>
      <c r="H295" s="80">
        <f>H296+H297</f>
        <v>587</v>
      </c>
      <c r="I295" s="80">
        <f>I296+I297</f>
        <v>587</v>
      </c>
      <c r="J295" s="80">
        <f>J296+J297</f>
        <v>587</v>
      </c>
      <c r="K295" s="680">
        <f t="shared" si="28"/>
        <v>0</v>
      </c>
      <c r="L295" s="680">
        <f t="shared" si="30"/>
        <v>0</v>
      </c>
    </row>
    <row r="296" spans="1:12">
      <c r="A296" s="48" t="s">
        <v>205</v>
      </c>
      <c r="B296" s="68">
        <v>934</v>
      </c>
      <c r="C296" s="89" t="s">
        <v>157</v>
      </c>
      <c r="D296" s="89" t="s">
        <v>155</v>
      </c>
      <c r="E296" s="68" t="s">
        <v>327</v>
      </c>
      <c r="F296" s="89" t="s">
        <v>202</v>
      </c>
      <c r="G296" s="81">
        <v>384</v>
      </c>
      <c r="H296" s="81">
        <f>G296</f>
        <v>384</v>
      </c>
      <c r="I296" s="81">
        <v>384</v>
      </c>
      <c r="J296" s="81">
        <f>I296</f>
        <v>384</v>
      </c>
      <c r="K296" s="680">
        <f t="shared" si="28"/>
        <v>0</v>
      </c>
      <c r="L296" s="680">
        <f t="shared" si="30"/>
        <v>0</v>
      </c>
    </row>
    <row r="297" spans="1:12">
      <c r="A297" s="48" t="s">
        <v>269</v>
      </c>
      <c r="B297" s="68">
        <v>934</v>
      </c>
      <c r="C297" s="89" t="s">
        <v>157</v>
      </c>
      <c r="D297" s="89" t="s">
        <v>155</v>
      </c>
      <c r="E297" s="68" t="s">
        <v>327</v>
      </c>
      <c r="F297" s="89" t="s">
        <v>270</v>
      </c>
      <c r="G297" s="81">
        <v>203</v>
      </c>
      <c r="H297" s="81">
        <f>G297</f>
        <v>203</v>
      </c>
      <c r="I297" s="81">
        <v>203</v>
      </c>
      <c r="J297" s="81">
        <f>I297</f>
        <v>203</v>
      </c>
      <c r="K297" s="680">
        <f t="shared" si="28"/>
        <v>0</v>
      </c>
      <c r="L297" s="680">
        <f t="shared" si="30"/>
        <v>0</v>
      </c>
    </row>
    <row r="298" spans="1:12" ht="52.5" customHeight="1">
      <c r="A298" s="157" t="s">
        <v>1113</v>
      </c>
      <c r="B298" s="155" t="s">
        <v>140</v>
      </c>
      <c r="C298" s="512" t="s">
        <v>157</v>
      </c>
      <c r="D298" s="512" t="s">
        <v>155</v>
      </c>
      <c r="E298" s="155" t="s">
        <v>732</v>
      </c>
      <c r="F298" s="512"/>
      <c r="G298" s="163">
        <f t="shared" ref="G298:J299" si="32">G299</f>
        <v>228.5</v>
      </c>
      <c r="H298" s="163">
        <f t="shared" si="32"/>
        <v>228.5</v>
      </c>
      <c r="I298" s="163">
        <f t="shared" si="32"/>
        <v>228.5</v>
      </c>
      <c r="J298" s="163">
        <f t="shared" si="32"/>
        <v>228.5</v>
      </c>
      <c r="K298" s="680">
        <f t="shared" si="28"/>
        <v>0</v>
      </c>
      <c r="L298" s="680">
        <f t="shared" si="30"/>
        <v>0</v>
      </c>
    </row>
    <row r="299" spans="1:12" ht="64.5" customHeight="1">
      <c r="A299" s="247" t="s">
        <v>525</v>
      </c>
      <c r="B299" s="172" t="s">
        <v>140</v>
      </c>
      <c r="C299" s="89" t="s">
        <v>157</v>
      </c>
      <c r="D299" s="89" t="s">
        <v>155</v>
      </c>
      <c r="E299" s="68" t="s">
        <v>732</v>
      </c>
      <c r="F299" s="89"/>
      <c r="G299" s="81">
        <f t="shared" si="32"/>
        <v>228.5</v>
      </c>
      <c r="H299" s="81">
        <f t="shared" si="32"/>
        <v>228.5</v>
      </c>
      <c r="I299" s="81">
        <f t="shared" si="32"/>
        <v>228.5</v>
      </c>
      <c r="J299" s="81">
        <f t="shared" si="32"/>
        <v>228.5</v>
      </c>
      <c r="K299" s="680">
        <f t="shared" si="28"/>
        <v>0</v>
      </c>
      <c r="L299" s="680">
        <f t="shared" si="30"/>
        <v>0</v>
      </c>
    </row>
    <row r="300" spans="1:12" ht="33.75" customHeight="1">
      <c r="A300" s="48" t="s">
        <v>269</v>
      </c>
      <c r="B300" s="172" t="s">
        <v>140</v>
      </c>
      <c r="C300" s="89" t="s">
        <v>157</v>
      </c>
      <c r="D300" s="89" t="s">
        <v>155</v>
      </c>
      <c r="E300" s="68" t="s">
        <v>732</v>
      </c>
      <c r="F300" s="89" t="s">
        <v>270</v>
      </c>
      <c r="G300" s="81">
        <v>228.5</v>
      </c>
      <c r="H300" s="81">
        <f>G300</f>
        <v>228.5</v>
      </c>
      <c r="I300" s="81">
        <v>228.5</v>
      </c>
      <c r="J300" s="81">
        <f>I300</f>
        <v>228.5</v>
      </c>
      <c r="K300" s="680">
        <f t="shared" si="28"/>
        <v>0</v>
      </c>
      <c r="L300" s="680">
        <f t="shared" si="30"/>
        <v>0</v>
      </c>
    </row>
    <row r="301" spans="1:12" ht="31.5">
      <c r="A301" s="156" t="s">
        <v>559</v>
      </c>
      <c r="B301" s="144" t="s">
        <v>140</v>
      </c>
      <c r="C301" s="144" t="s">
        <v>157</v>
      </c>
      <c r="D301" s="144" t="s">
        <v>155</v>
      </c>
      <c r="E301" s="153" t="s">
        <v>626</v>
      </c>
      <c r="F301" s="143"/>
      <c r="G301" s="146">
        <f t="shared" ref="G301:J302" si="33">G302</f>
        <v>20</v>
      </c>
      <c r="H301" s="146">
        <f t="shared" si="33"/>
        <v>0</v>
      </c>
      <c r="I301" s="146">
        <f t="shared" si="33"/>
        <v>0</v>
      </c>
      <c r="J301" s="146">
        <f t="shared" si="33"/>
        <v>0</v>
      </c>
      <c r="K301" s="680">
        <f t="shared" si="28"/>
        <v>20</v>
      </c>
      <c r="L301" s="680">
        <f t="shared" si="30"/>
        <v>0</v>
      </c>
    </row>
    <row r="302" spans="1:12">
      <c r="A302" s="156" t="s">
        <v>648</v>
      </c>
      <c r="B302" s="144" t="s">
        <v>140</v>
      </c>
      <c r="C302" s="144" t="s">
        <v>157</v>
      </c>
      <c r="D302" s="144" t="s">
        <v>155</v>
      </c>
      <c r="E302" s="153" t="s">
        <v>627</v>
      </c>
      <c r="F302" s="143"/>
      <c r="G302" s="146">
        <f t="shared" si="33"/>
        <v>20</v>
      </c>
      <c r="H302" s="146">
        <f t="shared" si="33"/>
        <v>0</v>
      </c>
      <c r="I302" s="146">
        <f t="shared" si="33"/>
        <v>0</v>
      </c>
      <c r="J302" s="146">
        <f t="shared" si="33"/>
        <v>0</v>
      </c>
      <c r="K302" s="680">
        <f t="shared" si="28"/>
        <v>20</v>
      </c>
      <c r="L302" s="680">
        <f t="shared" si="30"/>
        <v>0</v>
      </c>
    </row>
    <row r="303" spans="1:12" ht="31.5">
      <c r="A303" s="175" t="s">
        <v>209</v>
      </c>
      <c r="B303" s="172" t="s">
        <v>140</v>
      </c>
      <c r="C303" s="89" t="s">
        <v>157</v>
      </c>
      <c r="D303" s="89" t="s">
        <v>155</v>
      </c>
      <c r="E303" s="172" t="s">
        <v>628</v>
      </c>
      <c r="F303" s="276">
        <v>244</v>
      </c>
      <c r="G303" s="167">
        <v>20</v>
      </c>
      <c r="H303" s="381">
        <v>0</v>
      </c>
      <c r="I303" s="167"/>
      <c r="J303" s="381">
        <v>0</v>
      </c>
      <c r="K303" s="680">
        <f t="shared" si="28"/>
        <v>20</v>
      </c>
      <c r="L303" s="680">
        <f t="shared" si="30"/>
        <v>0</v>
      </c>
    </row>
    <row r="304" spans="1:12">
      <c r="A304" s="51" t="s">
        <v>789</v>
      </c>
      <c r="B304" s="78">
        <v>934</v>
      </c>
      <c r="C304" s="78" t="s">
        <v>157</v>
      </c>
      <c r="D304" s="78" t="s">
        <v>161</v>
      </c>
      <c r="E304" s="78"/>
      <c r="F304" s="78"/>
      <c r="G304" s="79">
        <f>G305</f>
        <v>286.70269000000002</v>
      </c>
      <c r="H304" s="79">
        <f>H305</f>
        <v>0</v>
      </c>
      <c r="I304" s="79">
        <f>I305</f>
        <v>0</v>
      </c>
      <c r="J304" s="79">
        <f>J305</f>
        <v>0</v>
      </c>
      <c r="K304" s="680">
        <f t="shared" si="28"/>
        <v>286.70269000000002</v>
      </c>
      <c r="L304" s="680">
        <f t="shared" si="30"/>
        <v>0</v>
      </c>
    </row>
    <row r="305" spans="1:12" ht="31.5">
      <c r="A305" s="142" t="s">
        <v>1106</v>
      </c>
      <c r="B305" s="143">
        <v>934</v>
      </c>
      <c r="C305" s="144" t="s">
        <v>157</v>
      </c>
      <c r="D305" s="144" t="s">
        <v>161</v>
      </c>
      <c r="E305" s="160" t="s">
        <v>425</v>
      </c>
      <c r="F305" s="144"/>
      <c r="G305" s="162">
        <f t="shared" ref="G305:J306" si="34">G306</f>
        <v>286.70269000000002</v>
      </c>
      <c r="H305" s="162">
        <f>H306</f>
        <v>0</v>
      </c>
      <c r="I305" s="162">
        <f t="shared" si="34"/>
        <v>0</v>
      </c>
      <c r="J305" s="162">
        <f>J306</f>
        <v>0</v>
      </c>
      <c r="K305" s="680">
        <f t="shared" si="28"/>
        <v>286.70269000000002</v>
      </c>
      <c r="L305" s="680">
        <f t="shared" si="30"/>
        <v>0</v>
      </c>
    </row>
    <row r="306" spans="1:12" ht="47.25">
      <c r="A306" s="147" t="s">
        <v>1131</v>
      </c>
      <c r="B306" s="148">
        <v>934</v>
      </c>
      <c r="C306" s="149" t="s">
        <v>157</v>
      </c>
      <c r="D306" s="149" t="s">
        <v>161</v>
      </c>
      <c r="E306" s="155" t="s">
        <v>624</v>
      </c>
      <c r="F306" s="149"/>
      <c r="G306" s="150">
        <f t="shared" si="34"/>
        <v>286.70269000000002</v>
      </c>
      <c r="H306" s="150">
        <f t="shared" si="34"/>
        <v>0</v>
      </c>
      <c r="I306" s="150">
        <f t="shared" si="34"/>
        <v>0</v>
      </c>
      <c r="J306" s="150">
        <f t="shared" si="34"/>
        <v>0</v>
      </c>
      <c r="K306" s="680">
        <f t="shared" si="28"/>
        <v>286.70269000000002</v>
      </c>
      <c r="L306" s="680">
        <f t="shared" si="30"/>
        <v>0</v>
      </c>
    </row>
    <row r="307" spans="1:12" ht="31.5">
      <c r="A307" s="196" t="s">
        <v>623</v>
      </c>
      <c r="B307" s="275">
        <v>934</v>
      </c>
      <c r="C307" s="168" t="s">
        <v>157</v>
      </c>
      <c r="D307" s="168" t="s">
        <v>161</v>
      </c>
      <c r="E307" s="172" t="s">
        <v>624</v>
      </c>
      <c r="F307" s="168"/>
      <c r="G307" s="169">
        <f>G308+G310</f>
        <v>286.70269000000002</v>
      </c>
      <c r="H307" s="169">
        <f>H308+H310</f>
        <v>0</v>
      </c>
      <c r="I307" s="169">
        <f>I308+I310</f>
        <v>0</v>
      </c>
      <c r="J307" s="169">
        <f>J308+J310</f>
        <v>0</v>
      </c>
      <c r="K307" s="680">
        <f t="shared" si="28"/>
        <v>286.70269000000002</v>
      </c>
      <c r="L307" s="680">
        <f t="shared" si="30"/>
        <v>0</v>
      </c>
    </row>
    <row r="308" spans="1:12" ht="31.5" hidden="1">
      <c r="A308" s="186" t="s">
        <v>517</v>
      </c>
      <c r="B308" s="70">
        <v>934</v>
      </c>
      <c r="C308" s="120" t="s">
        <v>157</v>
      </c>
      <c r="D308" s="120" t="s">
        <v>161</v>
      </c>
      <c r="E308" s="120" t="s">
        <v>424</v>
      </c>
      <c r="F308" s="168"/>
      <c r="G308" s="169">
        <f>G309</f>
        <v>0</v>
      </c>
      <c r="H308" s="169">
        <f>H309</f>
        <v>0</v>
      </c>
      <c r="I308" s="169">
        <f>I309</f>
        <v>0</v>
      </c>
      <c r="J308" s="169">
        <f>J309</f>
        <v>0</v>
      </c>
      <c r="K308" s="680">
        <f t="shared" si="28"/>
        <v>0</v>
      </c>
      <c r="L308" s="680">
        <f t="shared" si="30"/>
        <v>0</v>
      </c>
    </row>
    <row r="309" spans="1:12" hidden="1">
      <c r="A309" s="48" t="s">
        <v>263</v>
      </c>
      <c r="B309" s="70">
        <v>934</v>
      </c>
      <c r="C309" s="120" t="s">
        <v>157</v>
      </c>
      <c r="D309" s="120" t="s">
        <v>161</v>
      </c>
      <c r="E309" s="120" t="s">
        <v>424</v>
      </c>
      <c r="F309" s="68" t="s">
        <v>262</v>
      </c>
      <c r="G309" s="167"/>
      <c r="H309" s="169">
        <f>G309</f>
        <v>0</v>
      </c>
      <c r="I309" s="167"/>
      <c r="J309" s="169">
        <f>I309</f>
        <v>0</v>
      </c>
      <c r="K309" s="680">
        <f t="shared" si="28"/>
        <v>0</v>
      </c>
      <c r="L309" s="680">
        <f t="shared" si="30"/>
        <v>0</v>
      </c>
    </row>
    <row r="310" spans="1:12" ht="47.25">
      <c r="A310" s="186" t="s">
        <v>518</v>
      </c>
      <c r="B310" s="70">
        <v>934</v>
      </c>
      <c r="C310" s="129" t="s">
        <v>157</v>
      </c>
      <c r="D310" s="129" t="s">
        <v>161</v>
      </c>
      <c r="E310" s="120" t="s">
        <v>424</v>
      </c>
      <c r="F310" s="68"/>
      <c r="G310" s="167">
        <f>G311</f>
        <v>286.70269000000002</v>
      </c>
      <c r="H310" s="169">
        <v>0</v>
      </c>
      <c r="I310" s="167">
        <f>I311</f>
        <v>0</v>
      </c>
      <c r="J310" s="169">
        <v>0</v>
      </c>
      <c r="K310" s="680">
        <f t="shared" si="28"/>
        <v>286.70269000000002</v>
      </c>
      <c r="L310" s="680">
        <f t="shared" si="30"/>
        <v>0</v>
      </c>
    </row>
    <row r="311" spans="1:12">
      <c r="A311" s="48" t="s">
        <v>263</v>
      </c>
      <c r="B311" s="70">
        <v>934</v>
      </c>
      <c r="C311" s="129" t="s">
        <v>157</v>
      </c>
      <c r="D311" s="129" t="s">
        <v>161</v>
      </c>
      <c r="E311" s="120" t="s">
        <v>424</v>
      </c>
      <c r="F311" s="68" t="s">
        <v>262</v>
      </c>
      <c r="G311" s="81">
        <v>286.70269000000002</v>
      </c>
      <c r="H311" s="81">
        <v>0</v>
      </c>
      <c r="I311" s="81"/>
      <c r="J311" s="81">
        <v>0</v>
      </c>
      <c r="K311" s="680">
        <f t="shared" si="28"/>
        <v>286.70269000000002</v>
      </c>
      <c r="L311" s="680">
        <f t="shared" si="30"/>
        <v>0</v>
      </c>
    </row>
    <row r="312" spans="1:12" s="64" customFormat="1">
      <c r="A312" s="51" t="s">
        <v>303</v>
      </c>
      <c r="B312" s="78">
        <v>934</v>
      </c>
      <c r="C312" s="78" t="s">
        <v>157</v>
      </c>
      <c r="D312" s="78" t="s">
        <v>158</v>
      </c>
      <c r="E312" s="78"/>
      <c r="F312" s="78"/>
      <c r="G312" s="79">
        <f>G321+G316+G326</f>
        <v>3289.3999999999996</v>
      </c>
      <c r="H312" s="79">
        <f>H321+H316+H326</f>
        <v>3289.3999999999996</v>
      </c>
      <c r="I312" s="79">
        <f>I321+I316+I326</f>
        <v>3828.7</v>
      </c>
      <c r="J312" s="79">
        <f>J321+J316+J326</f>
        <v>3828.7</v>
      </c>
      <c r="K312" s="680">
        <f t="shared" si="28"/>
        <v>-539.30000000000018</v>
      </c>
      <c r="L312" s="680">
        <f t="shared" si="30"/>
        <v>-539.30000000000018</v>
      </c>
    </row>
    <row r="313" spans="1:12" s="64" customFormat="1" ht="47.25">
      <c r="A313" s="507" t="s">
        <v>834</v>
      </c>
      <c r="B313" s="152">
        <v>934</v>
      </c>
      <c r="C313" s="152" t="s">
        <v>157</v>
      </c>
      <c r="D313" s="152" t="s">
        <v>158</v>
      </c>
      <c r="E313" s="515" t="s">
        <v>838</v>
      </c>
      <c r="F313" s="152"/>
      <c r="G313" s="154">
        <f t="shared" ref="G313:J314" si="35">G314</f>
        <v>3289.3999999999996</v>
      </c>
      <c r="H313" s="154">
        <f t="shared" si="35"/>
        <v>3289.3999999999996</v>
      </c>
      <c r="I313" s="154">
        <f t="shared" si="35"/>
        <v>3828.7</v>
      </c>
      <c r="J313" s="154">
        <f t="shared" si="35"/>
        <v>3828.7</v>
      </c>
      <c r="K313" s="680">
        <f t="shared" si="28"/>
        <v>-539.30000000000018</v>
      </c>
      <c r="L313" s="680">
        <f t="shared" si="30"/>
        <v>-539.30000000000018</v>
      </c>
    </row>
    <row r="314" spans="1:12" s="64" customFormat="1" ht="31.5">
      <c r="A314" s="608" t="s">
        <v>846</v>
      </c>
      <c r="B314" s="606" t="s">
        <v>140</v>
      </c>
      <c r="C314" s="609">
        <v>10</v>
      </c>
      <c r="D314" s="606" t="s">
        <v>158</v>
      </c>
      <c r="E314" s="606" t="s">
        <v>839</v>
      </c>
      <c r="F314" s="78"/>
      <c r="G314" s="79">
        <f t="shared" si="35"/>
        <v>3289.3999999999996</v>
      </c>
      <c r="H314" s="79">
        <f t="shared" si="35"/>
        <v>3289.3999999999996</v>
      </c>
      <c r="I314" s="79">
        <f t="shared" si="35"/>
        <v>3828.7</v>
      </c>
      <c r="J314" s="79">
        <f t="shared" si="35"/>
        <v>3828.7</v>
      </c>
      <c r="K314" s="680">
        <f t="shared" si="28"/>
        <v>-539.30000000000018</v>
      </c>
      <c r="L314" s="680">
        <f t="shared" si="30"/>
        <v>-539.30000000000018</v>
      </c>
    </row>
    <row r="315" spans="1:12" s="64" customFormat="1" ht="47.25">
      <c r="A315" s="466" t="s">
        <v>843</v>
      </c>
      <c r="B315" s="606" t="s">
        <v>140</v>
      </c>
      <c r="C315" s="609">
        <v>10</v>
      </c>
      <c r="D315" s="606" t="s">
        <v>158</v>
      </c>
      <c r="E315" s="75" t="s">
        <v>842</v>
      </c>
      <c r="F315" s="78"/>
      <c r="G315" s="79">
        <f>G316+G321+G326</f>
        <v>3289.3999999999996</v>
      </c>
      <c r="H315" s="79">
        <f>H316+H321+H326</f>
        <v>3289.3999999999996</v>
      </c>
      <c r="I315" s="79">
        <f>I316+I321+I326</f>
        <v>3828.7</v>
      </c>
      <c r="J315" s="79">
        <f>J316+J321+J326</f>
        <v>3828.7</v>
      </c>
      <c r="K315" s="680">
        <f t="shared" si="28"/>
        <v>-539.30000000000018</v>
      </c>
      <c r="L315" s="680">
        <f t="shared" si="30"/>
        <v>-539.30000000000018</v>
      </c>
    </row>
    <row r="316" spans="1:12" s="131" customFormat="1" ht="59.25" customHeight="1">
      <c r="A316" s="128" t="s">
        <v>124</v>
      </c>
      <c r="B316" s="120">
        <v>934</v>
      </c>
      <c r="C316" s="129" t="s">
        <v>157</v>
      </c>
      <c r="D316" s="129" t="s">
        <v>158</v>
      </c>
      <c r="E316" s="129" t="s">
        <v>852</v>
      </c>
      <c r="F316" s="129"/>
      <c r="G316" s="93">
        <f>G317+G319+G320+G318</f>
        <v>1078.6999999999998</v>
      </c>
      <c r="H316" s="93">
        <f>H317+H319+H320+H318</f>
        <v>1078.6999999999998</v>
      </c>
      <c r="I316" s="93">
        <f>I317+I319+I320+I318</f>
        <v>1618</v>
      </c>
      <c r="J316" s="93">
        <f>J317+J319+J320+J318</f>
        <v>1618</v>
      </c>
      <c r="K316" s="680">
        <f t="shared" si="28"/>
        <v>-539.30000000000018</v>
      </c>
      <c r="L316" s="680">
        <f t="shared" si="30"/>
        <v>-539.30000000000018</v>
      </c>
    </row>
    <row r="317" spans="1:12" s="64" customFormat="1">
      <c r="A317" s="48" t="s">
        <v>324</v>
      </c>
      <c r="B317" s="68">
        <v>934</v>
      </c>
      <c r="C317" s="68" t="s">
        <v>157</v>
      </c>
      <c r="D317" s="68" t="s">
        <v>158</v>
      </c>
      <c r="E317" s="129" t="s">
        <v>852</v>
      </c>
      <c r="F317" s="68" t="s">
        <v>311</v>
      </c>
      <c r="G317" s="81">
        <f>968.42739+92.39631+91.39903-414.20891</f>
        <v>738.0138199999999</v>
      </c>
      <c r="H317" s="81">
        <f>G317</f>
        <v>738.0138199999999</v>
      </c>
      <c r="I317" s="81">
        <f>968.42739+92.39631+91.39903</f>
        <v>1152.22273</v>
      </c>
      <c r="J317" s="81">
        <f>I317</f>
        <v>1152.22273</v>
      </c>
      <c r="K317" s="680">
        <f t="shared" si="28"/>
        <v>-414.20891000000006</v>
      </c>
      <c r="L317" s="680">
        <f t="shared" si="30"/>
        <v>-414.20891000000006</v>
      </c>
    </row>
    <row r="318" spans="1:12" s="64" customFormat="1" ht="31.5">
      <c r="A318" s="48" t="s">
        <v>6</v>
      </c>
      <c r="B318" s="68">
        <v>934</v>
      </c>
      <c r="C318" s="68" t="s">
        <v>157</v>
      </c>
      <c r="D318" s="68" t="s">
        <v>158</v>
      </c>
      <c r="E318" s="129" t="s">
        <v>852</v>
      </c>
      <c r="F318" s="68" t="s">
        <v>316</v>
      </c>
      <c r="G318" s="81">
        <f>34.756+2.8+12.6</f>
        <v>50.155999999999999</v>
      </c>
      <c r="H318" s="81">
        <f>G318</f>
        <v>50.155999999999999</v>
      </c>
      <c r="I318" s="81">
        <f>34.756+2.8+12.6</f>
        <v>50.155999999999999</v>
      </c>
      <c r="J318" s="81">
        <f>I318</f>
        <v>50.155999999999999</v>
      </c>
      <c r="K318" s="680">
        <f t="shared" si="28"/>
        <v>0</v>
      </c>
      <c r="L318" s="680">
        <f t="shared" si="30"/>
        <v>0</v>
      </c>
    </row>
    <row r="319" spans="1:12" s="64" customFormat="1" ht="47.25">
      <c r="A319" s="164" t="s">
        <v>325</v>
      </c>
      <c r="B319" s="68">
        <v>934</v>
      </c>
      <c r="C319" s="68" t="s">
        <v>157</v>
      </c>
      <c r="D319" s="68" t="s">
        <v>158</v>
      </c>
      <c r="E319" s="129" t="s">
        <v>852</v>
      </c>
      <c r="F319" s="68" t="s">
        <v>326</v>
      </c>
      <c r="G319" s="81">
        <f>292.46661+27.90369+27.60097-125.09109</f>
        <v>222.88018</v>
      </c>
      <c r="H319" s="81">
        <f>G319</f>
        <v>222.88018</v>
      </c>
      <c r="I319" s="81">
        <f>292.46661+27.90369+27.60097</f>
        <v>347.97127</v>
      </c>
      <c r="J319" s="81">
        <f>I319</f>
        <v>347.97127</v>
      </c>
      <c r="K319" s="680">
        <f t="shared" si="28"/>
        <v>-125.09109000000001</v>
      </c>
      <c r="L319" s="680">
        <f t="shared" si="30"/>
        <v>-125.09109000000001</v>
      </c>
    </row>
    <row r="320" spans="1:12" s="64" customFormat="1" ht="31.5">
      <c r="A320" s="123" t="s">
        <v>209</v>
      </c>
      <c r="B320" s="68">
        <v>934</v>
      </c>
      <c r="C320" s="68" t="s">
        <v>157</v>
      </c>
      <c r="D320" s="68" t="s">
        <v>158</v>
      </c>
      <c r="E320" s="129" t="s">
        <v>852</v>
      </c>
      <c r="F320" s="68" t="s">
        <v>312</v>
      </c>
      <c r="G320" s="81">
        <f>117.806-34.756-2.8-12.6</f>
        <v>67.650000000000006</v>
      </c>
      <c r="H320" s="81">
        <f>G320</f>
        <v>67.650000000000006</v>
      </c>
      <c r="I320" s="81">
        <f>117.806-34.756-2.8-12.6</f>
        <v>67.650000000000006</v>
      </c>
      <c r="J320" s="81">
        <f>I320</f>
        <v>67.650000000000006</v>
      </c>
      <c r="K320" s="680">
        <f t="shared" si="28"/>
        <v>0</v>
      </c>
      <c r="L320" s="680">
        <f t="shared" si="30"/>
        <v>0</v>
      </c>
    </row>
    <row r="321" spans="1:12" ht="47.25">
      <c r="A321" s="49" t="s">
        <v>123</v>
      </c>
      <c r="B321" s="68">
        <v>934</v>
      </c>
      <c r="C321" s="67" t="s">
        <v>157</v>
      </c>
      <c r="D321" s="67" t="s">
        <v>158</v>
      </c>
      <c r="E321" s="67" t="s">
        <v>853</v>
      </c>
      <c r="F321" s="67"/>
      <c r="G321" s="80">
        <f>G322+G323+G324+G325</f>
        <v>2157.2999999999997</v>
      </c>
      <c r="H321" s="80">
        <f>H322+H323+H324+H325</f>
        <v>2157.2999999999997</v>
      </c>
      <c r="I321" s="80">
        <f>I322+I323+I324+I325</f>
        <v>2157.2999999999997</v>
      </c>
      <c r="J321" s="80">
        <f>J322+J323+J324+J325</f>
        <v>2157.2999999999997</v>
      </c>
      <c r="K321" s="680">
        <f t="shared" si="28"/>
        <v>0</v>
      </c>
      <c r="L321" s="680">
        <f t="shared" si="30"/>
        <v>0</v>
      </c>
    </row>
    <row r="322" spans="1:12" s="62" customFormat="1">
      <c r="A322" s="48" t="s">
        <v>324</v>
      </c>
      <c r="B322" s="68">
        <v>934</v>
      </c>
      <c r="C322" s="68" t="s">
        <v>157</v>
      </c>
      <c r="D322" s="68" t="s">
        <v>158</v>
      </c>
      <c r="E322" s="67" t="s">
        <v>853</v>
      </c>
      <c r="F322" s="68" t="s">
        <v>311</v>
      </c>
      <c r="G322" s="81">
        <f>859.6005+37.02+26.88172+92.39631+191.89717+191.82027+121.88941</f>
        <v>1521.5053799999998</v>
      </c>
      <c r="H322" s="81">
        <f>G322</f>
        <v>1521.5053799999998</v>
      </c>
      <c r="I322" s="81">
        <f>859.6005+37.02+26.88172+92.39631+191.89717+191.82027+121.88941</f>
        <v>1521.5053799999998</v>
      </c>
      <c r="J322" s="81">
        <f>I322</f>
        <v>1521.5053799999998</v>
      </c>
      <c r="K322" s="680">
        <f t="shared" si="28"/>
        <v>0</v>
      </c>
      <c r="L322" s="680">
        <f t="shared" si="30"/>
        <v>0</v>
      </c>
    </row>
    <row r="323" spans="1:12" ht="31.5">
      <c r="A323" s="48" t="s">
        <v>6</v>
      </c>
      <c r="B323" s="68">
        <v>934</v>
      </c>
      <c r="C323" s="68" t="s">
        <v>157</v>
      </c>
      <c r="D323" s="68" t="s">
        <v>158</v>
      </c>
      <c r="E323" s="67" t="s">
        <v>853</v>
      </c>
      <c r="F323" s="68" t="s">
        <v>316</v>
      </c>
      <c r="G323" s="81">
        <v>24.2</v>
      </c>
      <c r="H323" s="81">
        <f>G323</f>
        <v>24.2</v>
      </c>
      <c r="I323" s="81">
        <v>24.2</v>
      </c>
      <c r="J323" s="81">
        <f>I323</f>
        <v>24.2</v>
      </c>
      <c r="K323" s="680">
        <f t="shared" si="28"/>
        <v>0</v>
      </c>
      <c r="L323" s="680">
        <f t="shared" si="30"/>
        <v>0</v>
      </c>
    </row>
    <row r="324" spans="1:12" ht="47.25">
      <c r="A324" s="164" t="s">
        <v>325</v>
      </c>
      <c r="B324" s="68">
        <v>934</v>
      </c>
      <c r="C324" s="68" t="s">
        <v>157</v>
      </c>
      <c r="D324" s="68" t="s">
        <v>158</v>
      </c>
      <c r="E324" s="67" t="s">
        <v>853</v>
      </c>
      <c r="F324" s="68" t="s">
        <v>326</v>
      </c>
      <c r="G324" s="81">
        <f>259.5995+11.18+8.11828+27.90369+57.95283+57.92973+36.81059</f>
        <v>459.49462</v>
      </c>
      <c r="H324" s="81">
        <f>G324</f>
        <v>459.49462</v>
      </c>
      <c r="I324" s="81">
        <f>259.5995+11.18+8.11828+27.90369+57.95283+57.92973+36.81059</f>
        <v>459.49462</v>
      </c>
      <c r="J324" s="81">
        <f>I324</f>
        <v>459.49462</v>
      </c>
      <c r="K324" s="680">
        <f t="shared" si="28"/>
        <v>0</v>
      </c>
      <c r="L324" s="680">
        <f t="shared" si="30"/>
        <v>0</v>
      </c>
    </row>
    <row r="325" spans="1:12" ht="31.5">
      <c r="A325" s="123" t="s">
        <v>209</v>
      </c>
      <c r="B325" s="68">
        <v>934</v>
      </c>
      <c r="C325" s="68" t="s">
        <v>157</v>
      </c>
      <c r="D325" s="68" t="s">
        <v>158</v>
      </c>
      <c r="E325" s="67" t="s">
        <v>853</v>
      </c>
      <c r="F325" s="68" t="s">
        <v>312</v>
      </c>
      <c r="G325" s="81">
        <v>152.1</v>
      </c>
      <c r="H325" s="81">
        <f>G325</f>
        <v>152.1</v>
      </c>
      <c r="I325" s="81">
        <v>152.1</v>
      </c>
      <c r="J325" s="81">
        <f>I325</f>
        <v>152.1</v>
      </c>
      <c r="K325" s="680">
        <f t="shared" si="28"/>
        <v>0</v>
      </c>
      <c r="L325" s="680">
        <f t="shared" si="30"/>
        <v>0</v>
      </c>
    </row>
    <row r="326" spans="1:12" ht="63">
      <c r="A326" s="123" t="s">
        <v>754</v>
      </c>
      <c r="B326" s="68">
        <v>934</v>
      </c>
      <c r="C326" s="68" t="s">
        <v>157</v>
      </c>
      <c r="D326" s="68" t="s">
        <v>158</v>
      </c>
      <c r="E326" s="68" t="s">
        <v>854</v>
      </c>
      <c r="F326" s="68"/>
      <c r="G326" s="81">
        <f>G327+G328+G329</f>
        <v>53.4</v>
      </c>
      <c r="H326" s="81">
        <f>H327+H328+H329</f>
        <v>53.4</v>
      </c>
      <c r="I326" s="81">
        <f>I327+I328+I329</f>
        <v>53.4</v>
      </c>
      <c r="J326" s="81">
        <f>J327+J328+J329</f>
        <v>53.4</v>
      </c>
      <c r="K326" s="680">
        <f t="shared" si="28"/>
        <v>0</v>
      </c>
      <c r="L326" s="680">
        <f t="shared" si="30"/>
        <v>0</v>
      </c>
    </row>
    <row r="327" spans="1:12">
      <c r="A327" s="48" t="s">
        <v>324</v>
      </c>
      <c r="B327" s="68">
        <v>934</v>
      </c>
      <c r="C327" s="68" t="s">
        <v>157</v>
      </c>
      <c r="D327" s="68" t="s">
        <v>158</v>
      </c>
      <c r="E327" s="68" t="s">
        <v>854</v>
      </c>
      <c r="F327" s="68" t="s">
        <v>311</v>
      </c>
      <c r="G327" s="81">
        <f>64.28571-11.64164-10.44547-12.82642</f>
        <v>29.372179999999993</v>
      </c>
      <c r="H327" s="81">
        <f>G327</f>
        <v>29.372179999999993</v>
      </c>
      <c r="I327" s="81">
        <f>64.28571-11.64164-10.44547-12.82642</f>
        <v>29.372179999999993</v>
      </c>
      <c r="J327" s="81">
        <f>I327</f>
        <v>29.372179999999993</v>
      </c>
      <c r="K327" s="680">
        <f t="shared" si="28"/>
        <v>0</v>
      </c>
      <c r="L327" s="680">
        <f t="shared" si="30"/>
        <v>0</v>
      </c>
    </row>
    <row r="328" spans="1:12" ht="47.25">
      <c r="A328" s="164" t="s">
        <v>325</v>
      </c>
      <c r="B328" s="68">
        <v>934</v>
      </c>
      <c r="C328" s="68" t="s">
        <v>157</v>
      </c>
      <c r="D328" s="68" t="s">
        <v>158</v>
      </c>
      <c r="E328" s="68" t="s">
        <v>854</v>
      </c>
      <c r="F328" s="68" t="s">
        <v>326</v>
      </c>
      <c r="G328" s="81">
        <f>19.41429-3.51578-3.15453-3.87358</f>
        <v>8.8704000000000018</v>
      </c>
      <c r="H328" s="81">
        <f>G328</f>
        <v>8.8704000000000018</v>
      </c>
      <c r="I328" s="81">
        <f>19.41429-3.51578-3.15453-3.87358</f>
        <v>8.8704000000000018</v>
      </c>
      <c r="J328" s="81">
        <f>I328</f>
        <v>8.8704000000000018</v>
      </c>
      <c r="K328" s="680">
        <f t="shared" si="28"/>
        <v>0</v>
      </c>
      <c r="L328" s="680">
        <f t="shared" si="30"/>
        <v>0</v>
      </c>
    </row>
    <row r="329" spans="1:12" ht="31.5">
      <c r="A329" s="123" t="s">
        <v>209</v>
      </c>
      <c r="B329" s="68">
        <v>934</v>
      </c>
      <c r="C329" s="68" t="s">
        <v>157</v>
      </c>
      <c r="D329" s="68" t="s">
        <v>158</v>
      </c>
      <c r="E329" s="68" t="s">
        <v>854</v>
      </c>
      <c r="F329" s="68" t="s">
        <v>312</v>
      </c>
      <c r="G329" s="81">
        <v>15.15742</v>
      </c>
      <c r="H329" s="81">
        <f>G329</f>
        <v>15.15742</v>
      </c>
      <c r="I329" s="81">
        <v>15.15742</v>
      </c>
      <c r="J329" s="81">
        <f>I329</f>
        <v>15.15742</v>
      </c>
      <c r="K329" s="680">
        <f t="shared" si="28"/>
        <v>0</v>
      </c>
      <c r="L329" s="680">
        <f t="shared" si="30"/>
        <v>0</v>
      </c>
    </row>
    <row r="330" spans="1:12">
      <c r="A330" s="52" t="s">
        <v>301</v>
      </c>
      <c r="B330" s="75">
        <v>934</v>
      </c>
      <c r="C330" s="75" t="s">
        <v>160</v>
      </c>
      <c r="D330" s="75"/>
      <c r="E330" s="75"/>
      <c r="F330" s="75"/>
      <c r="G330" s="76">
        <f>G331+G338+G350</f>
        <v>34649.985999999997</v>
      </c>
      <c r="H330" s="76">
        <f>H331+H338+H350</f>
        <v>20573.400000000001</v>
      </c>
      <c r="I330" s="76">
        <f>I331+I338+I350</f>
        <v>31381.986000000001</v>
      </c>
      <c r="J330" s="76">
        <f>J331+J338+J350</f>
        <v>17843.755000000001</v>
      </c>
      <c r="K330" s="680">
        <f t="shared" si="28"/>
        <v>3267.9999999999964</v>
      </c>
      <c r="L330" s="680">
        <f t="shared" si="30"/>
        <v>2729.6450000000004</v>
      </c>
    </row>
    <row r="331" spans="1:12">
      <c r="A331" s="51" t="s">
        <v>264</v>
      </c>
      <c r="B331" s="75">
        <v>934</v>
      </c>
      <c r="C331" s="78" t="s">
        <v>160</v>
      </c>
      <c r="D331" s="78" t="s">
        <v>152</v>
      </c>
      <c r="E331" s="78"/>
      <c r="F331" s="78"/>
      <c r="G331" s="79">
        <f>G332</f>
        <v>1200</v>
      </c>
      <c r="H331" s="79">
        <f t="shared" ref="H331:J332" si="36">H332</f>
        <v>0</v>
      </c>
      <c r="I331" s="79">
        <f>I332</f>
        <v>1200</v>
      </c>
      <c r="J331" s="79">
        <f t="shared" si="36"/>
        <v>0</v>
      </c>
      <c r="K331" s="680">
        <f t="shared" si="28"/>
        <v>0</v>
      </c>
      <c r="L331" s="680">
        <f t="shared" si="30"/>
        <v>0</v>
      </c>
    </row>
    <row r="332" spans="1:12" ht="31.5">
      <c r="A332" s="142" t="s">
        <v>566</v>
      </c>
      <c r="B332" s="153" t="s">
        <v>140</v>
      </c>
      <c r="C332" s="144" t="s">
        <v>160</v>
      </c>
      <c r="D332" s="144" t="s">
        <v>152</v>
      </c>
      <c r="E332" s="144" t="s">
        <v>428</v>
      </c>
      <c r="F332" s="144"/>
      <c r="G332" s="146">
        <f t="shared" ref="G332:I332" si="37">G333</f>
        <v>1200</v>
      </c>
      <c r="H332" s="146">
        <f t="shared" si="36"/>
        <v>0</v>
      </c>
      <c r="I332" s="146">
        <f t="shared" si="37"/>
        <v>1200</v>
      </c>
      <c r="J332" s="146">
        <f t="shared" si="36"/>
        <v>0</v>
      </c>
      <c r="K332" s="680">
        <f t="shared" si="28"/>
        <v>0</v>
      </c>
      <c r="L332" s="680">
        <f t="shared" si="30"/>
        <v>0</v>
      </c>
    </row>
    <row r="333" spans="1:12" ht="31.5">
      <c r="A333" s="142" t="s">
        <v>649</v>
      </c>
      <c r="B333" s="153" t="s">
        <v>140</v>
      </c>
      <c r="C333" s="144" t="s">
        <v>160</v>
      </c>
      <c r="D333" s="144" t="s">
        <v>152</v>
      </c>
      <c r="E333" s="144" t="s">
        <v>428</v>
      </c>
      <c r="F333" s="144"/>
      <c r="G333" s="146">
        <f>G334+G335+G336+G337</f>
        <v>1200</v>
      </c>
      <c r="H333" s="146">
        <f>H335+H336</f>
        <v>0</v>
      </c>
      <c r="I333" s="146">
        <f>I334+I335+I336+I337</f>
        <v>1200</v>
      </c>
      <c r="J333" s="146">
        <f>J335+J336</f>
        <v>0</v>
      </c>
      <c r="K333" s="680">
        <f t="shared" si="28"/>
        <v>0</v>
      </c>
      <c r="L333" s="680">
        <f t="shared" si="30"/>
        <v>0</v>
      </c>
    </row>
    <row r="334" spans="1:12" s="174" customFormat="1" ht="47.25">
      <c r="A334" s="173" t="s">
        <v>529</v>
      </c>
      <c r="B334" s="68">
        <v>934</v>
      </c>
      <c r="C334" s="68" t="s">
        <v>160</v>
      </c>
      <c r="D334" s="68" t="s">
        <v>152</v>
      </c>
      <c r="E334" s="120" t="s">
        <v>397</v>
      </c>
      <c r="F334" s="168" t="s">
        <v>528</v>
      </c>
      <c r="G334" s="169">
        <v>12</v>
      </c>
      <c r="H334" s="169">
        <v>0</v>
      </c>
      <c r="I334" s="169">
        <v>12</v>
      </c>
      <c r="J334" s="169">
        <v>0</v>
      </c>
      <c r="K334" s="680">
        <f t="shared" ref="K334:K397" si="38">G334-I334</f>
        <v>0</v>
      </c>
      <c r="L334" s="680">
        <f t="shared" si="30"/>
        <v>0</v>
      </c>
    </row>
    <row r="335" spans="1:12" ht="31.5">
      <c r="A335" s="123" t="s">
        <v>209</v>
      </c>
      <c r="B335" s="68">
        <v>934</v>
      </c>
      <c r="C335" s="68" t="s">
        <v>160</v>
      </c>
      <c r="D335" s="68" t="s">
        <v>152</v>
      </c>
      <c r="E335" s="120" t="s">
        <v>397</v>
      </c>
      <c r="F335" s="68" t="s">
        <v>312</v>
      </c>
      <c r="G335" s="81">
        <v>300</v>
      </c>
      <c r="H335" s="81">
        <v>0</v>
      </c>
      <c r="I335" s="81">
        <v>300</v>
      </c>
      <c r="J335" s="81">
        <v>0</v>
      </c>
      <c r="K335" s="680">
        <f t="shared" si="38"/>
        <v>0</v>
      </c>
      <c r="L335" s="680">
        <f t="shared" si="30"/>
        <v>0</v>
      </c>
    </row>
    <row r="336" spans="1:12">
      <c r="A336" s="464" t="s">
        <v>494</v>
      </c>
      <c r="B336" s="68">
        <v>934</v>
      </c>
      <c r="C336" s="68" t="s">
        <v>160</v>
      </c>
      <c r="D336" s="68" t="s">
        <v>152</v>
      </c>
      <c r="E336" s="120" t="s">
        <v>397</v>
      </c>
      <c r="F336" s="68" t="s">
        <v>493</v>
      </c>
      <c r="G336" s="81">
        <v>888</v>
      </c>
      <c r="H336" s="81">
        <v>0</v>
      </c>
      <c r="I336" s="81">
        <v>888</v>
      </c>
      <c r="J336" s="81">
        <v>0</v>
      </c>
      <c r="K336" s="680">
        <f t="shared" si="38"/>
        <v>0</v>
      </c>
      <c r="L336" s="680">
        <f t="shared" si="30"/>
        <v>0</v>
      </c>
    </row>
    <row r="337" spans="1:12">
      <c r="A337" s="48" t="s">
        <v>130</v>
      </c>
      <c r="B337" s="68">
        <v>934</v>
      </c>
      <c r="C337" s="68" t="s">
        <v>160</v>
      </c>
      <c r="D337" s="68" t="s">
        <v>152</v>
      </c>
      <c r="E337" s="120" t="s">
        <v>397</v>
      </c>
      <c r="F337" s="68" t="s">
        <v>746</v>
      </c>
      <c r="G337" s="81">
        <v>0</v>
      </c>
      <c r="H337" s="81">
        <v>0</v>
      </c>
      <c r="I337" s="81">
        <v>0</v>
      </c>
      <c r="J337" s="81">
        <v>0</v>
      </c>
      <c r="K337" s="680">
        <f t="shared" si="38"/>
        <v>0</v>
      </c>
      <c r="L337" s="680">
        <f t="shared" si="30"/>
        <v>0</v>
      </c>
    </row>
    <row r="338" spans="1:12">
      <c r="A338" s="51" t="s">
        <v>198</v>
      </c>
      <c r="B338" s="75">
        <v>934</v>
      </c>
      <c r="C338" s="78" t="s">
        <v>160</v>
      </c>
      <c r="D338" s="78" t="s">
        <v>153</v>
      </c>
      <c r="E338" s="78"/>
      <c r="F338" s="78"/>
      <c r="G338" s="79">
        <f t="shared" ref="G338:J339" si="39">G339</f>
        <v>2320.9859999999999</v>
      </c>
      <c r="H338" s="79">
        <f t="shared" si="39"/>
        <v>0</v>
      </c>
      <c r="I338" s="79">
        <f t="shared" si="39"/>
        <v>2320.9859999999999</v>
      </c>
      <c r="J338" s="79">
        <f t="shared" si="39"/>
        <v>538.35500000000002</v>
      </c>
      <c r="K338" s="680">
        <f t="shared" si="38"/>
        <v>0</v>
      </c>
      <c r="L338" s="680">
        <f t="shared" si="30"/>
        <v>-538.35500000000002</v>
      </c>
    </row>
    <row r="339" spans="1:12" ht="31.5">
      <c r="A339" s="142" t="s">
        <v>1113</v>
      </c>
      <c r="B339" s="153" t="s">
        <v>140</v>
      </c>
      <c r="C339" s="144" t="s">
        <v>160</v>
      </c>
      <c r="D339" s="144" t="s">
        <v>153</v>
      </c>
      <c r="E339" s="144" t="s">
        <v>428</v>
      </c>
      <c r="F339" s="78"/>
      <c r="G339" s="79">
        <f t="shared" si="39"/>
        <v>2320.9859999999999</v>
      </c>
      <c r="H339" s="79">
        <f t="shared" si="39"/>
        <v>0</v>
      </c>
      <c r="I339" s="79">
        <f t="shared" si="39"/>
        <v>2320.9859999999999</v>
      </c>
      <c r="J339" s="79">
        <f t="shared" si="39"/>
        <v>538.35500000000002</v>
      </c>
      <c r="K339" s="680">
        <f t="shared" si="38"/>
        <v>0</v>
      </c>
      <c r="L339" s="680">
        <f t="shared" si="30"/>
        <v>-538.35500000000002</v>
      </c>
    </row>
    <row r="340" spans="1:12" ht="31.5">
      <c r="A340" s="142" t="s">
        <v>649</v>
      </c>
      <c r="B340" s="153" t="s">
        <v>140</v>
      </c>
      <c r="C340" s="144" t="s">
        <v>160</v>
      </c>
      <c r="D340" s="144" t="s">
        <v>153</v>
      </c>
      <c r="E340" s="144" t="s">
        <v>428</v>
      </c>
      <c r="F340" s="78"/>
      <c r="G340" s="79">
        <f>G341+G344+G347</f>
        <v>2320.9859999999999</v>
      </c>
      <c r="H340" s="79">
        <f>H341+H344+H347</f>
        <v>0</v>
      </c>
      <c r="I340" s="79">
        <f>I341+I344+I347</f>
        <v>2320.9859999999999</v>
      </c>
      <c r="J340" s="79">
        <f>J341+J344+J347</f>
        <v>538.35500000000002</v>
      </c>
      <c r="K340" s="680">
        <f t="shared" si="38"/>
        <v>0</v>
      </c>
      <c r="L340" s="680">
        <f t="shared" si="30"/>
        <v>-538.35500000000002</v>
      </c>
    </row>
    <row r="341" spans="1:12">
      <c r="A341" s="49" t="s">
        <v>72</v>
      </c>
      <c r="B341" s="67">
        <v>934</v>
      </c>
      <c r="C341" s="67" t="s">
        <v>160</v>
      </c>
      <c r="D341" s="67" t="s">
        <v>153</v>
      </c>
      <c r="E341" s="67"/>
      <c r="F341" s="67"/>
      <c r="G341" s="81">
        <f>G342+G343</f>
        <v>2320.9859999999999</v>
      </c>
      <c r="H341" s="81">
        <f>H342+H343</f>
        <v>0</v>
      </c>
      <c r="I341" s="81">
        <f>I342+I343</f>
        <v>2320.9859999999999</v>
      </c>
      <c r="J341" s="81">
        <f>J342+J343</f>
        <v>538.35500000000002</v>
      </c>
      <c r="K341" s="680">
        <f t="shared" si="38"/>
        <v>0</v>
      </c>
      <c r="L341" s="680">
        <f t="shared" si="30"/>
        <v>-538.35500000000002</v>
      </c>
    </row>
    <row r="342" spans="1:12">
      <c r="A342" s="48" t="s">
        <v>446</v>
      </c>
      <c r="B342" s="68" t="s">
        <v>140</v>
      </c>
      <c r="C342" s="68" t="s">
        <v>160</v>
      </c>
      <c r="D342" s="68" t="s">
        <v>153</v>
      </c>
      <c r="E342" s="68" t="s">
        <v>821</v>
      </c>
      <c r="F342" s="68" t="s">
        <v>332</v>
      </c>
      <c r="G342" s="81">
        <v>1782.6310000000001</v>
      </c>
      <c r="H342" s="81">
        <v>0</v>
      </c>
      <c r="I342" s="81">
        <v>1782.6310000000001</v>
      </c>
      <c r="J342" s="81">
        <v>0</v>
      </c>
      <c r="K342" s="680">
        <f t="shared" si="38"/>
        <v>0</v>
      </c>
      <c r="L342" s="680">
        <f t="shared" si="30"/>
        <v>0</v>
      </c>
    </row>
    <row r="343" spans="1:12" ht="47.25">
      <c r="A343" s="441" t="s">
        <v>447</v>
      </c>
      <c r="B343" s="68" t="s">
        <v>140</v>
      </c>
      <c r="C343" s="68" t="s">
        <v>160</v>
      </c>
      <c r="D343" s="68" t="s">
        <v>153</v>
      </c>
      <c r="E343" s="68" t="s">
        <v>821</v>
      </c>
      <c r="F343" s="68" t="s">
        <v>334</v>
      </c>
      <c r="G343" s="81">
        <v>538.35500000000002</v>
      </c>
      <c r="H343" s="81">
        <v>0</v>
      </c>
      <c r="I343" s="81">
        <v>538.35500000000002</v>
      </c>
      <c r="J343" s="81">
        <f>I343</f>
        <v>538.35500000000002</v>
      </c>
      <c r="K343" s="680">
        <f t="shared" si="38"/>
        <v>0</v>
      </c>
      <c r="L343" s="680">
        <f t="shared" si="30"/>
        <v>-538.35500000000002</v>
      </c>
    </row>
    <row r="344" spans="1:12" ht="31.5" hidden="1">
      <c r="A344" s="49" t="s">
        <v>294</v>
      </c>
      <c r="B344" s="68">
        <v>934</v>
      </c>
      <c r="C344" s="67" t="s">
        <v>160</v>
      </c>
      <c r="D344" s="67" t="s">
        <v>153</v>
      </c>
      <c r="E344" s="67"/>
      <c r="F344" s="67"/>
      <c r="G344" s="80">
        <f>G345+G346</f>
        <v>0</v>
      </c>
      <c r="H344" s="80">
        <f>H345+H346</f>
        <v>0</v>
      </c>
      <c r="I344" s="80">
        <f>I345+I346</f>
        <v>0</v>
      </c>
      <c r="J344" s="80">
        <f>J345+J346</f>
        <v>0</v>
      </c>
      <c r="K344" s="680">
        <f t="shared" si="38"/>
        <v>0</v>
      </c>
      <c r="L344" s="680">
        <f t="shared" si="30"/>
        <v>0</v>
      </c>
    </row>
    <row r="345" spans="1:12" hidden="1">
      <c r="A345" s="48" t="s">
        <v>446</v>
      </c>
      <c r="B345" s="68">
        <v>934</v>
      </c>
      <c r="C345" s="68" t="s">
        <v>160</v>
      </c>
      <c r="D345" s="68" t="s">
        <v>153</v>
      </c>
      <c r="E345" s="68" t="s">
        <v>821</v>
      </c>
      <c r="F345" s="68" t="s">
        <v>332</v>
      </c>
      <c r="G345" s="81"/>
      <c r="H345" s="81">
        <f>H346</f>
        <v>0</v>
      </c>
      <c r="I345" s="81"/>
      <c r="J345" s="81">
        <f>J346</f>
        <v>0</v>
      </c>
      <c r="K345" s="680">
        <f t="shared" si="38"/>
        <v>0</v>
      </c>
      <c r="L345" s="680">
        <f t="shared" si="30"/>
        <v>0</v>
      </c>
    </row>
    <row r="346" spans="1:12" ht="47.25" hidden="1">
      <c r="A346" s="441" t="s">
        <v>447</v>
      </c>
      <c r="B346" s="68">
        <v>934</v>
      </c>
      <c r="C346" s="68" t="s">
        <v>160</v>
      </c>
      <c r="D346" s="68" t="s">
        <v>153</v>
      </c>
      <c r="E346" s="68" t="s">
        <v>821</v>
      </c>
      <c r="F346" s="68" t="s">
        <v>334</v>
      </c>
      <c r="G346" s="81"/>
      <c r="H346" s="81">
        <v>0</v>
      </c>
      <c r="I346" s="81"/>
      <c r="J346" s="81">
        <v>0</v>
      </c>
      <c r="K346" s="680">
        <f t="shared" si="38"/>
        <v>0</v>
      </c>
      <c r="L346" s="680">
        <f t="shared" ref="L346:L409" si="40">H346-J346</f>
        <v>0</v>
      </c>
    </row>
    <row r="347" spans="1:12" ht="63" hidden="1">
      <c r="A347" s="46" t="s">
        <v>570</v>
      </c>
      <c r="B347" s="68" t="s">
        <v>140</v>
      </c>
      <c r="C347" s="68" t="s">
        <v>160</v>
      </c>
      <c r="D347" s="68" t="s">
        <v>153</v>
      </c>
      <c r="E347" s="68" t="s">
        <v>1000</v>
      </c>
      <c r="F347" s="68"/>
      <c r="G347" s="81">
        <f>G348+G349</f>
        <v>0</v>
      </c>
      <c r="H347" s="81">
        <f>H348+H349</f>
        <v>0</v>
      </c>
      <c r="I347" s="81">
        <f>I348+I349</f>
        <v>0</v>
      </c>
      <c r="J347" s="81">
        <f>J348+J349</f>
        <v>0</v>
      </c>
      <c r="K347" s="680">
        <f t="shared" si="38"/>
        <v>0</v>
      </c>
      <c r="L347" s="680">
        <f t="shared" si="40"/>
        <v>0</v>
      </c>
    </row>
    <row r="348" spans="1:12" hidden="1">
      <c r="A348" s="48" t="s">
        <v>446</v>
      </c>
      <c r="B348" s="68" t="s">
        <v>140</v>
      </c>
      <c r="C348" s="68" t="s">
        <v>160</v>
      </c>
      <c r="D348" s="68" t="s">
        <v>153</v>
      </c>
      <c r="E348" s="68" t="s">
        <v>1000</v>
      </c>
      <c r="F348" s="68" t="s">
        <v>332</v>
      </c>
      <c r="G348" s="81"/>
      <c r="H348" s="81">
        <f>G348</f>
        <v>0</v>
      </c>
      <c r="I348" s="81"/>
      <c r="J348" s="81">
        <f>I348</f>
        <v>0</v>
      </c>
      <c r="K348" s="680">
        <f t="shared" si="38"/>
        <v>0</v>
      </c>
      <c r="L348" s="680">
        <f t="shared" si="40"/>
        <v>0</v>
      </c>
    </row>
    <row r="349" spans="1:12" ht="47.25" hidden="1">
      <c r="A349" s="441" t="s">
        <v>447</v>
      </c>
      <c r="B349" s="68" t="s">
        <v>140</v>
      </c>
      <c r="C349" s="68" t="s">
        <v>160</v>
      </c>
      <c r="D349" s="68" t="s">
        <v>153</v>
      </c>
      <c r="E349" s="68" t="s">
        <v>1000</v>
      </c>
      <c r="F349" s="68" t="s">
        <v>334</v>
      </c>
      <c r="G349" s="81"/>
      <c r="H349" s="81">
        <f>G349</f>
        <v>0</v>
      </c>
      <c r="I349" s="81"/>
      <c r="J349" s="81">
        <f>I349</f>
        <v>0</v>
      </c>
      <c r="K349" s="680">
        <f t="shared" si="38"/>
        <v>0</v>
      </c>
      <c r="L349" s="680">
        <f t="shared" si="40"/>
        <v>0</v>
      </c>
    </row>
    <row r="350" spans="1:12">
      <c r="A350" s="486" t="s">
        <v>533</v>
      </c>
      <c r="B350" s="75">
        <v>934</v>
      </c>
      <c r="C350" s="75" t="s">
        <v>160</v>
      </c>
      <c r="D350" s="75" t="s">
        <v>155</v>
      </c>
      <c r="E350" s="271"/>
      <c r="F350" s="75"/>
      <c r="G350" s="76">
        <f>G351</f>
        <v>31129</v>
      </c>
      <c r="H350" s="76">
        <f>H351</f>
        <v>20573.400000000001</v>
      </c>
      <c r="I350" s="76">
        <f>I351</f>
        <v>27861</v>
      </c>
      <c r="J350" s="76">
        <f>J351</f>
        <v>17305.400000000001</v>
      </c>
      <c r="K350" s="680">
        <f t="shared" si="38"/>
        <v>3268</v>
      </c>
      <c r="L350" s="680">
        <f t="shared" si="40"/>
        <v>3268</v>
      </c>
    </row>
    <row r="351" spans="1:12" ht="31.5">
      <c r="A351" s="516" t="s">
        <v>1113</v>
      </c>
      <c r="B351" s="515" t="s">
        <v>140</v>
      </c>
      <c r="C351" s="152" t="s">
        <v>160</v>
      </c>
      <c r="D351" s="152" t="s">
        <v>155</v>
      </c>
      <c r="E351" s="152" t="s">
        <v>428</v>
      </c>
      <c r="F351" s="75"/>
      <c r="G351" s="76">
        <f t="shared" ref="G351:J351" si="41">G352</f>
        <v>31129</v>
      </c>
      <c r="H351" s="76">
        <f t="shared" si="41"/>
        <v>20573.400000000001</v>
      </c>
      <c r="I351" s="76">
        <f t="shared" si="41"/>
        <v>27861</v>
      </c>
      <c r="J351" s="76">
        <f t="shared" si="41"/>
        <v>17305.400000000001</v>
      </c>
      <c r="K351" s="680">
        <f t="shared" si="38"/>
        <v>3268</v>
      </c>
      <c r="L351" s="680">
        <f t="shared" si="40"/>
        <v>3268</v>
      </c>
    </row>
    <row r="352" spans="1:12" ht="31.5">
      <c r="A352" s="516" t="s">
        <v>649</v>
      </c>
      <c r="B352" s="515" t="s">
        <v>140</v>
      </c>
      <c r="C352" s="152" t="s">
        <v>160</v>
      </c>
      <c r="D352" s="152" t="s">
        <v>155</v>
      </c>
      <c r="E352" s="152" t="s">
        <v>428</v>
      </c>
      <c r="F352" s="75"/>
      <c r="G352" s="76">
        <f>G353+G357+G359+G355</f>
        <v>31129</v>
      </c>
      <c r="H352" s="76">
        <f>H353+H357+H359+H355</f>
        <v>20573.400000000001</v>
      </c>
      <c r="I352" s="76">
        <f>I353+I357+I359+I355</f>
        <v>27861</v>
      </c>
      <c r="J352" s="76">
        <f>J353+J357+J359+J355</f>
        <v>17305.400000000001</v>
      </c>
      <c r="K352" s="680">
        <f t="shared" si="38"/>
        <v>3268</v>
      </c>
      <c r="L352" s="680">
        <f t="shared" si="40"/>
        <v>3268</v>
      </c>
    </row>
    <row r="353" spans="1:12" ht="31.5">
      <c r="A353" s="610" t="s">
        <v>822</v>
      </c>
      <c r="B353" s="68" t="s">
        <v>140</v>
      </c>
      <c r="C353" s="68" t="s">
        <v>160</v>
      </c>
      <c r="D353" s="68" t="s">
        <v>155</v>
      </c>
      <c r="E353" s="120" t="s">
        <v>397</v>
      </c>
      <c r="F353" s="68"/>
      <c r="G353" s="81">
        <f>G354</f>
        <v>4793.7999999999993</v>
      </c>
      <c r="H353" s="81">
        <f>H354</f>
        <v>0</v>
      </c>
      <c r="I353" s="81">
        <f>I354</f>
        <v>4793.7999999999993</v>
      </c>
      <c r="J353" s="81">
        <f>J354</f>
        <v>0</v>
      </c>
      <c r="K353" s="680">
        <f t="shared" si="38"/>
        <v>0</v>
      </c>
      <c r="L353" s="680">
        <f t="shared" si="40"/>
        <v>0</v>
      </c>
    </row>
    <row r="354" spans="1:12">
      <c r="A354" s="48" t="s">
        <v>267</v>
      </c>
      <c r="B354" s="68">
        <v>934</v>
      </c>
      <c r="C354" s="68" t="s">
        <v>160</v>
      </c>
      <c r="D354" s="68" t="s">
        <v>155</v>
      </c>
      <c r="E354" s="120" t="s">
        <v>397</v>
      </c>
      <c r="F354" s="68" t="s">
        <v>320</v>
      </c>
      <c r="G354" s="81">
        <f>700+1000+38.7+9+15.2+82+107.1+23.1+2818.7</f>
        <v>4793.7999999999993</v>
      </c>
      <c r="H354" s="81">
        <v>0</v>
      </c>
      <c r="I354" s="81">
        <f>700+1000+38.7+9+15.2+82+107.1+23.1+2818.7</f>
        <v>4793.7999999999993</v>
      </c>
      <c r="J354" s="81">
        <v>0</v>
      </c>
      <c r="K354" s="680">
        <f t="shared" si="38"/>
        <v>0</v>
      </c>
      <c r="L354" s="680">
        <f t="shared" si="40"/>
        <v>0</v>
      </c>
    </row>
    <row r="355" spans="1:12" ht="63">
      <c r="A355" s="46" t="s">
        <v>570</v>
      </c>
      <c r="B355" s="68">
        <v>934</v>
      </c>
      <c r="C355" s="68" t="s">
        <v>160</v>
      </c>
      <c r="D355" s="68" t="s">
        <v>155</v>
      </c>
      <c r="E355" s="120" t="s">
        <v>1000</v>
      </c>
      <c r="F355" s="68"/>
      <c r="G355" s="81">
        <f>G356</f>
        <v>3268</v>
      </c>
      <c r="H355" s="81">
        <f>H356</f>
        <v>3268</v>
      </c>
      <c r="I355" s="81">
        <f>I356</f>
        <v>0</v>
      </c>
      <c r="J355" s="81">
        <f>J356</f>
        <v>0</v>
      </c>
      <c r="K355" s="680">
        <f t="shared" si="38"/>
        <v>3268</v>
      </c>
      <c r="L355" s="680">
        <f t="shared" si="40"/>
        <v>3268</v>
      </c>
    </row>
    <row r="356" spans="1:12">
      <c r="A356" s="48" t="s">
        <v>269</v>
      </c>
      <c r="B356" s="68">
        <v>934</v>
      </c>
      <c r="C356" s="68" t="s">
        <v>160</v>
      </c>
      <c r="D356" s="68" t="s">
        <v>155</v>
      </c>
      <c r="E356" s="120" t="s">
        <v>1000</v>
      </c>
      <c r="F356" s="68" t="s">
        <v>270</v>
      </c>
      <c r="G356" s="81">
        <v>3268</v>
      </c>
      <c r="H356" s="81">
        <f>G356</f>
        <v>3268</v>
      </c>
      <c r="I356" s="81"/>
      <c r="J356" s="81">
        <f>I356</f>
        <v>0</v>
      </c>
      <c r="K356" s="680">
        <f t="shared" si="38"/>
        <v>3268</v>
      </c>
      <c r="L356" s="680">
        <f t="shared" si="40"/>
        <v>3268</v>
      </c>
    </row>
    <row r="357" spans="1:12" ht="31.5">
      <c r="A357" s="49" t="s">
        <v>519</v>
      </c>
      <c r="B357" s="67">
        <v>934</v>
      </c>
      <c r="C357" s="67" t="s">
        <v>160</v>
      </c>
      <c r="D357" s="67" t="s">
        <v>155</v>
      </c>
      <c r="E357" s="476" t="s">
        <v>521</v>
      </c>
      <c r="F357" s="68"/>
      <c r="G357" s="81">
        <f>G358</f>
        <v>17305.400000000001</v>
      </c>
      <c r="H357" s="81">
        <f>H358</f>
        <v>17305.400000000001</v>
      </c>
      <c r="I357" s="81">
        <f>I358</f>
        <v>17305.400000000001</v>
      </c>
      <c r="J357" s="81">
        <f>J358</f>
        <v>17305.400000000001</v>
      </c>
      <c r="K357" s="680">
        <f t="shared" si="38"/>
        <v>0</v>
      </c>
      <c r="L357" s="680">
        <f t="shared" si="40"/>
        <v>0</v>
      </c>
    </row>
    <row r="358" spans="1:12">
      <c r="A358" s="48" t="s">
        <v>269</v>
      </c>
      <c r="B358" s="68">
        <v>934</v>
      </c>
      <c r="C358" s="68" t="s">
        <v>160</v>
      </c>
      <c r="D358" s="68" t="s">
        <v>155</v>
      </c>
      <c r="E358" s="477" t="s">
        <v>521</v>
      </c>
      <c r="F358" s="68" t="s">
        <v>270</v>
      </c>
      <c r="G358" s="81">
        <v>17305.400000000001</v>
      </c>
      <c r="H358" s="81">
        <f>G358</f>
        <v>17305.400000000001</v>
      </c>
      <c r="I358" s="81">
        <v>17305.400000000001</v>
      </c>
      <c r="J358" s="81">
        <f>I358</f>
        <v>17305.400000000001</v>
      </c>
      <c r="K358" s="680">
        <f t="shared" si="38"/>
        <v>0</v>
      </c>
      <c r="L358" s="680">
        <f t="shared" si="40"/>
        <v>0</v>
      </c>
    </row>
    <row r="359" spans="1:12" ht="31.5">
      <c r="A359" s="49" t="s">
        <v>526</v>
      </c>
      <c r="B359" s="67">
        <v>934</v>
      </c>
      <c r="C359" s="67" t="s">
        <v>160</v>
      </c>
      <c r="D359" s="68" t="s">
        <v>155</v>
      </c>
      <c r="E359" s="476" t="s">
        <v>521</v>
      </c>
      <c r="F359" s="67"/>
      <c r="G359" s="80">
        <f>G360</f>
        <v>5761.8</v>
      </c>
      <c r="H359" s="80">
        <f>H360</f>
        <v>0</v>
      </c>
      <c r="I359" s="80">
        <f>I360</f>
        <v>5761.8</v>
      </c>
      <c r="J359" s="80">
        <f>J360</f>
        <v>0</v>
      </c>
      <c r="K359" s="680">
        <f t="shared" si="38"/>
        <v>0</v>
      </c>
      <c r="L359" s="680">
        <f t="shared" si="40"/>
        <v>0</v>
      </c>
    </row>
    <row r="360" spans="1:12">
      <c r="A360" s="48" t="s">
        <v>269</v>
      </c>
      <c r="B360" s="68">
        <v>934</v>
      </c>
      <c r="C360" s="68" t="s">
        <v>160</v>
      </c>
      <c r="D360" s="68" t="s">
        <v>155</v>
      </c>
      <c r="E360" s="477" t="s">
        <v>521</v>
      </c>
      <c r="F360" s="68" t="s">
        <v>270</v>
      </c>
      <c r="G360" s="81">
        <v>5761.8</v>
      </c>
      <c r="H360" s="81">
        <v>0</v>
      </c>
      <c r="I360" s="81">
        <v>5761.8</v>
      </c>
      <c r="J360" s="81">
        <v>0</v>
      </c>
      <c r="K360" s="680">
        <f t="shared" si="38"/>
        <v>0</v>
      </c>
      <c r="L360" s="680">
        <f t="shared" si="40"/>
        <v>0</v>
      </c>
    </row>
    <row r="361" spans="1:12" s="64" customFormat="1">
      <c r="A361" s="52" t="s">
        <v>265</v>
      </c>
      <c r="B361" s="75">
        <v>934</v>
      </c>
      <c r="C361" s="75" t="s">
        <v>159</v>
      </c>
      <c r="D361" s="75"/>
      <c r="E361" s="85"/>
      <c r="F361" s="75"/>
      <c r="G361" s="76">
        <f t="shared" ref="G361:J361" si="42">G362</f>
        <v>1600</v>
      </c>
      <c r="H361" s="76">
        <f t="shared" si="42"/>
        <v>0</v>
      </c>
      <c r="I361" s="76">
        <f t="shared" si="42"/>
        <v>1600</v>
      </c>
      <c r="J361" s="76">
        <f t="shared" si="42"/>
        <v>0</v>
      </c>
      <c r="K361" s="680">
        <f t="shared" si="38"/>
        <v>0</v>
      </c>
      <c r="L361" s="680">
        <f t="shared" si="40"/>
        <v>0</v>
      </c>
    </row>
    <row r="362" spans="1:12" s="63" customFormat="1">
      <c r="A362" s="51" t="s">
        <v>177</v>
      </c>
      <c r="B362" s="75">
        <v>934</v>
      </c>
      <c r="C362" s="78" t="s">
        <v>159</v>
      </c>
      <c r="D362" s="78" t="s">
        <v>153</v>
      </c>
      <c r="E362" s="78"/>
      <c r="F362" s="78"/>
      <c r="G362" s="79">
        <f>G364</f>
        <v>1600</v>
      </c>
      <c r="H362" s="79">
        <f>H364</f>
        <v>0</v>
      </c>
      <c r="I362" s="79">
        <f>I364</f>
        <v>1600</v>
      </c>
      <c r="J362" s="79">
        <f>J364</f>
        <v>0</v>
      </c>
      <c r="K362" s="680">
        <f t="shared" si="38"/>
        <v>0</v>
      </c>
      <c r="L362" s="680">
        <f t="shared" si="40"/>
        <v>0</v>
      </c>
    </row>
    <row r="363" spans="1:12" s="63" customFormat="1" ht="54.75" customHeight="1">
      <c r="A363" s="516" t="s">
        <v>1104</v>
      </c>
      <c r="B363" s="153">
        <v>934</v>
      </c>
      <c r="C363" s="144" t="s">
        <v>159</v>
      </c>
      <c r="D363" s="144" t="s">
        <v>153</v>
      </c>
      <c r="E363" s="152" t="s">
        <v>398</v>
      </c>
      <c r="F363" s="152"/>
      <c r="G363" s="154">
        <f t="shared" ref="G363:J363" si="43">G364</f>
        <v>1600</v>
      </c>
      <c r="H363" s="154">
        <f t="shared" si="43"/>
        <v>0</v>
      </c>
      <c r="I363" s="154">
        <f t="shared" si="43"/>
        <v>1600</v>
      </c>
      <c r="J363" s="154">
        <f t="shared" si="43"/>
        <v>0</v>
      </c>
      <c r="K363" s="680">
        <f t="shared" si="38"/>
        <v>0</v>
      </c>
      <c r="L363" s="680">
        <f t="shared" si="40"/>
        <v>0</v>
      </c>
    </row>
    <row r="364" spans="1:12" s="62" customFormat="1" ht="31.5">
      <c r="A364" s="157" t="s">
        <v>693</v>
      </c>
      <c r="B364" s="155">
        <v>934</v>
      </c>
      <c r="C364" s="149" t="s">
        <v>159</v>
      </c>
      <c r="D364" s="149" t="s">
        <v>153</v>
      </c>
      <c r="E364" s="155" t="s">
        <v>818</v>
      </c>
      <c r="F364" s="149"/>
      <c r="G364" s="150">
        <f>G365+G367</f>
        <v>1600</v>
      </c>
      <c r="H364" s="150">
        <f>H367</f>
        <v>0</v>
      </c>
      <c r="I364" s="150">
        <f>I365+I367</f>
        <v>1600</v>
      </c>
      <c r="J364" s="150">
        <f>J367</f>
        <v>0</v>
      </c>
      <c r="K364" s="680">
        <f t="shared" si="38"/>
        <v>0</v>
      </c>
      <c r="L364" s="680">
        <f t="shared" si="40"/>
        <v>0</v>
      </c>
    </row>
    <row r="365" spans="1:12" s="62" customFormat="1" ht="31.5">
      <c r="A365" s="186" t="s">
        <v>694</v>
      </c>
      <c r="B365" s="120" t="s">
        <v>140</v>
      </c>
      <c r="C365" s="129" t="s">
        <v>159</v>
      </c>
      <c r="D365" s="129" t="s">
        <v>153</v>
      </c>
      <c r="E365" s="120" t="s">
        <v>385</v>
      </c>
      <c r="F365" s="129"/>
      <c r="G365" s="93">
        <f>G366</f>
        <v>1600</v>
      </c>
      <c r="H365" s="93">
        <f>H366</f>
        <v>0</v>
      </c>
      <c r="I365" s="93">
        <f>I366</f>
        <v>1600</v>
      </c>
      <c r="J365" s="93">
        <f>J366</f>
        <v>0</v>
      </c>
      <c r="K365" s="680">
        <f t="shared" si="38"/>
        <v>0</v>
      </c>
      <c r="L365" s="680">
        <f t="shared" si="40"/>
        <v>0</v>
      </c>
    </row>
    <row r="366" spans="1:12" ht="47.25">
      <c r="A366" s="48" t="s">
        <v>268</v>
      </c>
      <c r="B366" s="68">
        <v>934</v>
      </c>
      <c r="C366" s="68" t="s">
        <v>159</v>
      </c>
      <c r="D366" s="68" t="s">
        <v>153</v>
      </c>
      <c r="E366" s="68" t="s">
        <v>385</v>
      </c>
      <c r="F366" s="68" t="s">
        <v>320</v>
      </c>
      <c r="G366" s="81">
        <v>1600</v>
      </c>
      <c r="H366" s="81">
        <v>0</v>
      </c>
      <c r="I366" s="81">
        <v>1600</v>
      </c>
      <c r="J366" s="81">
        <v>0</v>
      </c>
      <c r="K366" s="680">
        <f t="shared" si="38"/>
        <v>0</v>
      </c>
      <c r="L366" s="680">
        <f t="shared" si="40"/>
        <v>0</v>
      </c>
    </row>
    <row r="367" spans="1:12" ht="63" hidden="1">
      <c r="A367" s="46" t="s">
        <v>570</v>
      </c>
      <c r="B367" s="68">
        <v>934</v>
      </c>
      <c r="C367" s="68" t="s">
        <v>159</v>
      </c>
      <c r="D367" s="68" t="s">
        <v>153</v>
      </c>
      <c r="E367" s="68" t="s">
        <v>1042</v>
      </c>
      <c r="F367" s="68"/>
      <c r="G367" s="81">
        <f>G368</f>
        <v>0</v>
      </c>
      <c r="H367" s="81">
        <f>G367</f>
        <v>0</v>
      </c>
      <c r="I367" s="81">
        <f>I368</f>
        <v>0</v>
      </c>
      <c r="J367" s="81">
        <f>I367</f>
        <v>0</v>
      </c>
      <c r="K367" s="680">
        <f t="shared" si="38"/>
        <v>0</v>
      </c>
      <c r="L367" s="680">
        <f t="shared" si="40"/>
        <v>0</v>
      </c>
    </row>
    <row r="368" spans="1:12" ht="21" hidden="1" customHeight="1">
      <c r="A368" s="48" t="s">
        <v>269</v>
      </c>
      <c r="B368" s="68">
        <v>934</v>
      </c>
      <c r="C368" s="68" t="s">
        <v>159</v>
      </c>
      <c r="D368" s="68" t="s">
        <v>153</v>
      </c>
      <c r="E368" s="68" t="s">
        <v>1042</v>
      </c>
      <c r="F368" s="68" t="s">
        <v>270</v>
      </c>
      <c r="G368" s="81"/>
      <c r="H368" s="81">
        <f>G368</f>
        <v>0</v>
      </c>
      <c r="I368" s="81"/>
      <c r="J368" s="81">
        <f>I368</f>
        <v>0</v>
      </c>
      <c r="K368" s="680">
        <f t="shared" si="38"/>
        <v>0</v>
      </c>
      <c r="L368" s="680">
        <f t="shared" si="40"/>
        <v>0</v>
      </c>
    </row>
    <row r="369" spans="1:12" ht="47.25">
      <c r="A369" s="52" t="s">
        <v>108</v>
      </c>
      <c r="B369" s="75">
        <v>934</v>
      </c>
      <c r="C369" s="75" t="s">
        <v>165</v>
      </c>
      <c r="D369" s="75"/>
      <c r="E369" s="75"/>
      <c r="F369" s="75"/>
      <c r="G369" s="76">
        <f>G370</f>
        <v>17377.721899999997</v>
      </c>
      <c r="H369" s="76">
        <f>H370</f>
        <v>9739.1999999999989</v>
      </c>
      <c r="I369" s="76">
        <f>I370</f>
        <v>17546.821899999999</v>
      </c>
      <c r="J369" s="76">
        <f>J370</f>
        <v>11908.3</v>
      </c>
      <c r="K369" s="680">
        <f t="shared" si="38"/>
        <v>-169.10000000000218</v>
      </c>
      <c r="L369" s="680">
        <f t="shared" si="40"/>
        <v>-2169.1000000000004</v>
      </c>
    </row>
    <row r="370" spans="1:12" s="64" customFormat="1">
      <c r="A370" s="51" t="s">
        <v>46</v>
      </c>
      <c r="B370" s="78" t="s">
        <v>140</v>
      </c>
      <c r="C370" s="78" t="s">
        <v>165</v>
      </c>
      <c r="D370" s="78" t="s">
        <v>155</v>
      </c>
      <c r="E370" s="78"/>
      <c r="F370" s="78"/>
      <c r="G370" s="79">
        <f>G383+G389+G395+G398+G409+G417+G371+G415+G429+G378</f>
        <v>17377.721899999997</v>
      </c>
      <c r="H370" s="79">
        <f>H383+H389+H395+H398+H409+H371+H417</f>
        <v>9739.1999999999989</v>
      </c>
      <c r="I370" s="79">
        <f>I383+I389+I395+I398+I409+I417+I371+I415+I429+I378</f>
        <v>17546.821899999999</v>
      </c>
      <c r="J370" s="79">
        <f>J383+J389+J395+J398+J409+J371+J417</f>
        <v>11908.3</v>
      </c>
      <c r="K370" s="680">
        <f t="shared" si="38"/>
        <v>-169.10000000000218</v>
      </c>
      <c r="L370" s="680">
        <f t="shared" si="40"/>
        <v>-2169.1000000000004</v>
      </c>
    </row>
    <row r="371" spans="1:12" s="64" customFormat="1" hidden="1">
      <c r="A371" s="51" t="s">
        <v>359</v>
      </c>
      <c r="B371" s="383">
        <v>934</v>
      </c>
      <c r="C371" s="383">
        <v>14</v>
      </c>
      <c r="D371" s="410" t="s">
        <v>155</v>
      </c>
      <c r="E371" s="68" t="s">
        <v>0</v>
      </c>
      <c r="F371" s="78"/>
      <c r="G371" s="81">
        <f>G372+G374+G376</f>
        <v>0</v>
      </c>
      <c r="H371" s="81">
        <f>H372+H374+H376</f>
        <v>0</v>
      </c>
      <c r="I371" s="81">
        <f>I372+I374+I376</f>
        <v>0</v>
      </c>
      <c r="J371" s="81">
        <f>J372+J374+J376</f>
        <v>0</v>
      </c>
      <c r="K371" s="680">
        <f t="shared" si="38"/>
        <v>0</v>
      </c>
      <c r="L371" s="680">
        <f t="shared" si="40"/>
        <v>0</v>
      </c>
    </row>
    <row r="372" spans="1:12" s="64" customFormat="1" ht="31.5" hidden="1">
      <c r="A372" s="49" t="s">
        <v>631</v>
      </c>
      <c r="B372" s="383">
        <v>934</v>
      </c>
      <c r="C372" s="383">
        <v>14</v>
      </c>
      <c r="D372" s="410" t="s">
        <v>155</v>
      </c>
      <c r="E372" s="410"/>
      <c r="F372" s="78"/>
      <c r="G372" s="81">
        <f>G373</f>
        <v>0</v>
      </c>
      <c r="H372" s="79">
        <v>0</v>
      </c>
      <c r="I372" s="81">
        <f>I373</f>
        <v>0</v>
      </c>
      <c r="J372" s="79">
        <v>0</v>
      </c>
      <c r="K372" s="680">
        <f t="shared" si="38"/>
        <v>0</v>
      </c>
      <c r="L372" s="680">
        <f t="shared" si="40"/>
        <v>0</v>
      </c>
    </row>
    <row r="373" spans="1:12" s="64" customFormat="1" hidden="1">
      <c r="A373" s="409" t="s">
        <v>310</v>
      </c>
      <c r="B373" s="383">
        <v>934</v>
      </c>
      <c r="C373" s="383">
        <v>14</v>
      </c>
      <c r="D373" s="410" t="s">
        <v>155</v>
      </c>
      <c r="E373" s="195" t="s">
        <v>558</v>
      </c>
      <c r="F373" s="68" t="s">
        <v>321</v>
      </c>
      <c r="G373" s="81"/>
      <c r="H373" s="79">
        <v>0</v>
      </c>
      <c r="I373" s="81"/>
      <c r="J373" s="79">
        <v>0</v>
      </c>
      <c r="K373" s="680">
        <f t="shared" si="38"/>
        <v>0</v>
      </c>
      <c r="L373" s="680">
        <f t="shared" si="40"/>
        <v>0</v>
      </c>
    </row>
    <row r="374" spans="1:12" s="64" customFormat="1" ht="47.25" hidden="1">
      <c r="A374" s="48" t="s">
        <v>896</v>
      </c>
      <c r="B374" s="70">
        <v>934</v>
      </c>
      <c r="C374" s="70">
        <v>14</v>
      </c>
      <c r="D374" s="68" t="s">
        <v>155</v>
      </c>
      <c r="E374" s="172" t="s">
        <v>1027</v>
      </c>
      <c r="F374" s="383"/>
      <c r="G374" s="432">
        <f>G375</f>
        <v>0</v>
      </c>
      <c r="H374" s="79">
        <f>H375</f>
        <v>0</v>
      </c>
      <c r="I374" s="432">
        <f>I375</f>
        <v>0</v>
      </c>
      <c r="J374" s="79">
        <f>J375</f>
        <v>0</v>
      </c>
      <c r="K374" s="680">
        <f t="shared" si="38"/>
        <v>0</v>
      </c>
      <c r="L374" s="680">
        <f t="shared" si="40"/>
        <v>0</v>
      </c>
    </row>
    <row r="375" spans="1:12" s="64" customFormat="1" hidden="1">
      <c r="A375" s="409" t="s">
        <v>310</v>
      </c>
      <c r="B375" s="70">
        <v>934</v>
      </c>
      <c r="C375" s="70">
        <v>14</v>
      </c>
      <c r="D375" s="68" t="s">
        <v>155</v>
      </c>
      <c r="E375" s="172" t="s">
        <v>1027</v>
      </c>
      <c r="F375" s="383">
        <v>540</v>
      </c>
      <c r="G375" s="432"/>
      <c r="H375" s="79">
        <f>G375</f>
        <v>0</v>
      </c>
      <c r="I375" s="432"/>
      <c r="J375" s="79">
        <f>I375</f>
        <v>0</v>
      </c>
      <c r="K375" s="680">
        <f t="shared" si="38"/>
        <v>0</v>
      </c>
      <c r="L375" s="680">
        <f t="shared" si="40"/>
        <v>0</v>
      </c>
    </row>
    <row r="376" spans="1:12" s="64" customFormat="1" ht="47.25" hidden="1">
      <c r="A376" s="48" t="s">
        <v>896</v>
      </c>
      <c r="B376" s="70">
        <v>934</v>
      </c>
      <c r="C376" s="70">
        <v>14</v>
      </c>
      <c r="D376" s="68" t="s">
        <v>155</v>
      </c>
      <c r="E376" s="172" t="s">
        <v>1028</v>
      </c>
      <c r="F376" s="383"/>
      <c r="G376" s="432">
        <f>G377</f>
        <v>0</v>
      </c>
      <c r="H376" s="79">
        <f>H377</f>
        <v>0</v>
      </c>
      <c r="I376" s="432">
        <f>I377</f>
        <v>0</v>
      </c>
      <c r="J376" s="79">
        <f>J377</f>
        <v>0</v>
      </c>
      <c r="K376" s="680">
        <f t="shared" si="38"/>
        <v>0</v>
      </c>
      <c r="L376" s="680">
        <f t="shared" si="40"/>
        <v>0</v>
      </c>
    </row>
    <row r="377" spans="1:12" s="64" customFormat="1" hidden="1">
      <c r="A377" s="409" t="s">
        <v>310</v>
      </c>
      <c r="B377" s="70">
        <v>934</v>
      </c>
      <c r="C377" s="70">
        <v>14</v>
      </c>
      <c r="D377" s="68" t="s">
        <v>155</v>
      </c>
      <c r="E377" s="172" t="s">
        <v>1028</v>
      </c>
      <c r="F377" s="383">
        <v>540</v>
      </c>
      <c r="G377" s="432"/>
      <c r="H377" s="79">
        <f>G377</f>
        <v>0</v>
      </c>
      <c r="I377" s="432"/>
      <c r="J377" s="79">
        <f>I377</f>
        <v>0</v>
      </c>
      <c r="K377" s="680">
        <f t="shared" si="38"/>
        <v>0</v>
      </c>
      <c r="L377" s="680">
        <f t="shared" si="40"/>
        <v>0</v>
      </c>
    </row>
    <row r="378" spans="1:12" s="64" customFormat="1" ht="63" hidden="1">
      <c r="A378" s="161" t="s">
        <v>873</v>
      </c>
      <c r="B378" s="160">
        <v>934</v>
      </c>
      <c r="C378" s="160">
        <v>14</v>
      </c>
      <c r="D378" s="153" t="s">
        <v>155</v>
      </c>
      <c r="E378" s="153"/>
      <c r="F378" s="497"/>
      <c r="G378" s="499">
        <f>G379+G381</f>
        <v>0</v>
      </c>
      <c r="H378" s="79">
        <f>H381</f>
        <v>0</v>
      </c>
      <c r="I378" s="499">
        <f>I379+I381</f>
        <v>0</v>
      </c>
      <c r="J378" s="79">
        <f>J381</f>
        <v>0</v>
      </c>
      <c r="K378" s="680">
        <f t="shared" si="38"/>
        <v>0</v>
      </c>
      <c r="L378" s="680">
        <f t="shared" si="40"/>
        <v>0</v>
      </c>
    </row>
    <row r="379" spans="1:12" s="64" customFormat="1" ht="25.5" hidden="1">
      <c r="A379" s="218" t="s">
        <v>874</v>
      </c>
      <c r="B379" s="70">
        <v>934</v>
      </c>
      <c r="C379" s="70">
        <v>14</v>
      </c>
      <c r="D379" s="68" t="s">
        <v>155</v>
      </c>
      <c r="E379" s="172"/>
      <c r="F379" s="383"/>
      <c r="G379" s="432">
        <f>G380</f>
        <v>0</v>
      </c>
      <c r="H379" s="79"/>
      <c r="I379" s="432">
        <f>I380</f>
        <v>0</v>
      </c>
      <c r="J379" s="79"/>
      <c r="K379" s="680">
        <f t="shared" si="38"/>
        <v>0</v>
      </c>
      <c r="L379" s="680">
        <f t="shared" si="40"/>
        <v>0</v>
      </c>
    </row>
    <row r="380" spans="1:12" s="64" customFormat="1" hidden="1">
      <c r="A380" s="409" t="s">
        <v>310</v>
      </c>
      <c r="B380" s="70">
        <v>934</v>
      </c>
      <c r="C380" s="70">
        <v>14</v>
      </c>
      <c r="D380" s="68" t="s">
        <v>155</v>
      </c>
      <c r="E380" s="68" t="s">
        <v>1051</v>
      </c>
      <c r="F380" s="383">
        <v>540</v>
      </c>
      <c r="G380" s="432"/>
      <c r="H380" s="79"/>
      <c r="I380" s="432"/>
      <c r="J380" s="79"/>
      <c r="K380" s="680">
        <f t="shared" si="38"/>
        <v>0</v>
      </c>
      <c r="L380" s="680">
        <f t="shared" si="40"/>
        <v>0</v>
      </c>
    </row>
    <row r="381" spans="1:12" s="64" customFormat="1" ht="31.5" hidden="1">
      <c r="A381" s="164" t="s">
        <v>1069</v>
      </c>
      <c r="B381" s="124">
        <v>934</v>
      </c>
      <c r="C381" s="120" t="s">
        <v>165</v>
      </c>
      <c r="D381" s="120" t="s">
        <v>155</v>
      </c>
      <c r="E381" s="120" t="s">
        <v>1070</v>
      </c>
      <c r="F381" s="124"/>
      <c r="G381" s="432">
        <f>G382</f>
        <v>0</v>
      </c>
      <c r="H381" s="79">
        <f>H382</f>
        <v>0</v>
      </c>
      <c r="I381" s="432">
        <f>I382</f>
        <v>0</v>
      </c>
      <c r="J381" s="79">
        <f>J382</f>
        <v>0</v>
      </c>
      <c r="K381" s="680">
        <f t="shared" si="38"/>
        <v>0</v>
      </c>
      <c r="L381" s="680">
        <f t="shared" si="40"/>
        <v>0</v>
      </c>
    </row>
    <row r="382" spans="1:12" s="64" customFormat="1" hidden="1">
      <c r="A382" s="409" t="s">
        <v>310</v>
      </c>
      <c r="B382" s="124">
        <v>934</v>
      </c>
      <c r="C382" s="120" t="s">
        <v>165</v>
      </c>
      <c r="D382" s="120" t="s">
        <v>155</v>
      </c>
      <c r="E382" s="120" t="s">
        <v>1070</v>
      </c>
      <c r="F382" s="124">
        <v>540</v>
      </c>
      <c r="G382" s="432"/>
      <c r="H382" s="79">
        <f>G382</f>
        <v>0</v>
      </c>
      <c r="I382" s="432"/>
      <c r="J382" s="79">
        <f>I382</f>
        <v>0</v>
      </c>
      <c r="K382" s="680">
        <f t="shared" si="38"/>
        <v>0</v>
      </c>
      <c r="L382" s="680">
        <f t="shared" si="40"/>
        <v>0</v>
      </c>
    </row>
    <row r="383" spans="1:12" ht="54.75" hidden="1" customHeight="1">
      <c r="A383" s="496" t="s">
        <v>1104</v>
      </c>
      <c r="B383" s="144">
        <v>934</v>
      </c>
      <c r="C383" s="144" t="s">
        <v>165</v>
      </c>
      <c r="D383" s="144" t="s">
        <v>155</v>
      </c>
      <c r="E383" s="144" t="s">
        <v>398</v>
      </c>
      <c r="F383" s="144"/>
      <c r="G383" s="146">
        <f>G384</f>
        <v>1100</v>
      </c>
      <c r="H383" s="146">
        <f>H384</f>
        <v>0</v>
      </c>
      <c r="I383" s="146">
        <f>I384</f>
        <v>1100</v>
      </c>
      <c r="J383" s="146">
        <f>J384</f>
        <v>0</v>
      </c>
      <c r="K383" s="680">
        <f t="shared" si="38"/>
        <v>0</v>
      </c>
      <c r="L383" s="680">
        <f t="shared" si="40"/>
        <v>0</v>
      </c>
    </row>
    <row r="384" spans="1:12" ht="37.5" customHeight="1">
      <c r="A384" s="147" t="s">
        <v>1110</v>
      </c>
      <c r="B384" s="155">
        <v>934</v>
      </c>
      <c r="C384" s="155" t="s">
        <v>165</v>
      </c>
      <c r="D384" s="155" t="s">
        <v>155</v>
      </c>
      <c r="E384" s="155" t="s">
        <v>381</v>
      </c>
      <c r="F384" s="155"/>
      <c r="G384" s="163">
        <f>G386+G387</f>
        <v>1100</v>
      </c>
      <c r="H384" s="163">
        <f>H386+H387</f>
        <v>0</v>
      </c>
      <c r="I384" s="163">
        <f>I386+I387</f>
        <v>1100</v>
      </c>
      <c r="J384" s="163">
        <f>J386+J387</f>
        <v>0</v>
      </c>
      <c r="K384" s="680">
        <f t="shared" si="38"/>
        <v>0</v>
      </c>
      <c r="L384" s="680">
        <f t="shared" si="40"/>
        <v>0</v>
      </c>
    </row>
    <row r="385" spans="1:12" ht="37.5" customHeight="1">
      <c r="A385" s="48" t="s">
        <v>650</v>
      </c>
      <c r="B385" s="68">
        <v>934</v>
      </c>
      <c r="C385" s="68" t="s">
        <v>165</v>
      </c>
      <c r="D385" s="68" t="s">
        <v>155</v>
      </c>
      <c r="E385" s="68" t="s">
        <v>629</v>
      </c>
      <c r="F385" s="120"/>
      <c r="G385" s="119">
        <f>G386</f>
        <v>1100</v>
      </c>
      <c r="H385" s="119">
        <v>0</v>
      </c>
      <c r="I385" s="119">
        <f>I386</f>
        <v>1100</v>
      </c>
      <c r="J385" s="119">
        <v>0</v>
      </c>
      <c r="K385" s="680">
        <f t="shared" si="38"/>
        <v>0</v>
      </c>
      <c r="L385" s="680">
        <f t="shared" si="40"/>
        <v>0</v>
      </c>
    </row>
    <row r="386" spans="1:12" ht="24" customHeight="1">
      <c r="A386" s="48" t="s">
        <v>310</v>
      </c>
      <c r="B386" s="68">
        <v>934</v>
      </c>
      <c r="C386" s="68" t="s">
        <v>165</v>
      </c>
      <c r="D386" s="68" t="s">
        <v>155</v>
      </c>
      <c r="E386" s="68" t="s">
        <v>630</v>
      </c>
      <c r="F386" s="68" t="s">
        <v>321</v>
      </c>
      <c r="G386" s="81">
        <v>1100</v>
      </c>
      <c r="H386" s="81">
        <v>0</v>
      </c>
      <c r="I386" s="81">
        <v>1100</v>
      </c>
      <c r="J386" s="81">
        <v>0</v>
      </c>
      <c r="K386" s="680">
        <f t="shared" si="38"/>
        <v>0</v>
      </c>
      <c r="L386" s="680">
        <f t="shared" si="40"/>
        <v>0</v>
      </c>
    </row>
    <row r="387" spans="1:12" ht="53.25" hidden="1" customHeight="1">
      <c r="A387" s="48" t="s">
        <v>537</v>
      </c>
      <c r="B387" s="68">
        <v>934</v>
      </c>
      <c r="C387" s="68" t="s">
        <v>165</v>
      </c>
      <c r="D387" s="68" t="s">
        <v>155</v>
      </c>
      <c r="E387" s="68" t="s">
        <v>760</v>
      </c>
      <c r="F387" s="68"/>
      <c r="G387" s="81">
        <f>G388</f>
        <v>0</v>
      </c>
      <c r="H387" s="81">
        <f>H388</f>
        <v>0</v>
      </c>
      <c r="I387" s="81">
        <f>I388</f>
        <v>0</v>
      </c>
      <c r="J387" s="81">
        <f>J388</f>
        <v>0</v>
      </c>
      <c r="K387" s="680">
        <f t="shared" si="38"/>
        <v>0</v>
      </c>
      <c r="L387" s="680">
        <f t="shared" si="40"/>
        <v>0</v>
      </c>
    </row>
    <row r="388" spans="1:12" ht="24" hidden="1" customHeight="1">
      <c r="A388" s="48" t="s">
        <v>310</v>
      </c>
      <c r="B388" s="68">
        <v>934</v>
      </c>
      <c r="C388" s="68" t="s">
        <v>165</v>
      </c>
      <c r="D388" s="68" t="s">
        <v>155</v>
      </c>
      <c r="E388" s="68" t="s">
        <v>760</v>
      </c>
      <c r="F388" s="68" t="s">
        <v>321</v>
      </c>
      <c r="G388" s="81"/>
      <c r="H388" s="81">
        <f>G388</f>
        <v>0</v>
      </c>
      <c r="I388" s="81"/>
      <c r="J388" s="81">
        <f>I388</f>
        <v>0</v>
      </c>
      <c r="K388" s="680">
        <f t="shared" si="38"/>
        <v>0</v>
      </c>
      <c r="L388" s="680">
        <f t="shared" si="40"/>
        <v>0</v>
      </c>
    </row>
    <row r="389" spans="1:12" s="63" customFormat="1" ht="31.5">
      <c r="A389" s="161" t="s">
        <v>791</v>
      </c>
      <c r="B389" s="497">
        <v>934</v>
      </c>
      <c r="C389" s="497">
        <v>14</v>
      </c>
      <c r="D389" s="498" t="s">
        <v>155</v>
      </c>
      <c r="E389" s="153" t="s">
        <v>471</v>
      </c>
      <c r="F389" s="497"/>
      <c r="G389" s="499">
        <f>G391+G393</f>
        <v>9751.1082999999981</v>
      </c>
      <c r="H389" s="499">
        <f>H391+H393</f>
        <v>9739.1999999999989</v>
      </c>
      <c r="I389" s="499">
        <f>I391+I393</f>
        <v>11920.208299999998</v>
      </c>
      <c r="J389" s="499">
        <f>J391+J393</f>
        <v>11908.3</v>
      </c>
      <c r="K389" s="680">
        <f t="shared" si="38"/>
        <v>-2169.1000000000004</v>
      </c>
      <c r="L389" s="680">
        <f t="shared" si="40"/>
        <v>-2169.1000000000004</v>
      </c>
    </row>
    <row r="390" spans="1:12" s="63" customFormat="1" ht="47.25">
      <c r="A390" s="161" t="s">
        <v>652</v>
      </c>
      <c r="B390" s="497">
        <v>934</v>
      </c>
      <c r="C390" s="497">
        <v>14</v>
      </c>
      <c r="D390" s="498" t="s">
        <v>155</v>
      </c>
      <c r="E390" s="153" t="s">
        <v>471</v>
      </c>
      <c r="F390" s="497"/>
      <c r="G390" s="499">
        <f>G391+G393</f>
        <v>9751.1082999999981</v>
      </c>
      <c r="H390" s="499">
        <f>H391+H393</f>
        <v>9739.1999999999989</v>
      </c>
      <c r="I390" s="499">
        <f>I391+I393</f>
        <v>11920.208299999998</v>
      </c>
      <c r="J390" s="499">
        <f>J391+J393</f>
        <v>11908.3</v>
      </c>
      <c r="K390" s="680">
        <f t="shared" si="38"/>
        <v>-2169.1000000000004</v>
      </c>
      <c r="L390" s="680">
        <f t="shared" si="40"/>
        <v>-2169.1000000000004</v>
      </c>
    </row>
    <row r="391" spans="1:12" s="63" customFormat="1" ht="47.25">
      <c r="A391" s="49" t="s">
        <v>792</v>
      </c>
      <c r="B391" s="69">
        <v>934</v>
      </c>
      <c r="C391" s="67" t="s">
        <v>165</v>
      </c>
      <c r="D391" s="67" t="s">
        <v>155</v>
      </c>
      <c r="E391" s="195" t="s">
        <v>471</v>
      </c>
      <c r="F391" s="67"/>
      <c r="G391" s="80">
        <f>G392</f>
        <v>9739.1999999999989</v>
      </c>
      <c r="H391" s="80">
        <f>H392</f>
        <v>9739.1999999999989</v>
      </c>
      <c r="I391" s="80">
        <f>I392</f>
        <v>11908.3</v>
      </c>
      <c r="J391" s="80">
        <f>J392</f>
        <v>11908.3</v>
      </c>
      <c r="K391" s="680">
        <f t="shared" si="38"/>
        <v>-2169.1000000000004</v>
      </c>
      <c r="L391" s="680">
        <f t="shared" si="40"/>
        <v>-2169.1000000000004</v>
      </c>
    </row>
    <row r="392" spans="1:12" s="63" customFormat="1">
      <c r="A392" s="48" t="s">
        <v>310</v>
      </c>
      <c r="B392" s="70">
        <v>934</v>
      </c>
      <c r="C392" s="68" t="s">
        <v>165</v>
      </c>
      <c r="D392" s="68" t="s">
        <v>155</v>
      </c>
      <c r="E392" s="195" t="s">
        <v>471</v>
      </c>
      <c r="F392" s="68" t="s">
        <v>321</v>
      </c>
      <c r="G392" s="81">
        <f>11908.3-2169.1</f>
        <v>9739.1999999999989</v>
      </c>
      <c r="H392" s="81">
        <f>G392</f>
        <v>9739.1999999999989</v>
      </c>
      <c r="I392" s="81">
        <v>11908.3</v>
      </c>
      <c r="J392" s="81">
        <f>I392</f>
        <v>11908.3</v>
      </c>
      <c r="K392" s="680">
        <f t="shared" si="38"/>
        <v>-2169.1000000000004</v>
      </c>
      <c r="L392" s="680">
        <f t="shared" si="40"/>
        <v>-2169.1000000000004</v>
      </c>
    </row>
    <row r="393" spans="1:12" s="63" customFormat="1" ht="47.25">
      <c r="A393" s="49" t="s">
        <v>793</v>
      </c>
      <c r="B393" s="69">
        <v>934</v>
      </c>
      <c r="C393" s="67" t="s">
        <v>165</v>
      </c>
      <c r="D393" s="67" t="s">
        <v>155</v>
      </c>
      <c r="E393" s="195" t="s">
        <v>471</v>
      </c>
      <c r="F393" s="67"/>
      <c r="G393" s="81">
        <f>G394</f>
        <v>11.908300000000001</v>
      </c>
      <c r="H393" s="81">
        <f>H394</f>
        <v>0</v>
      </c>
      <c r="I393" s="81">
        <f>I394</f>
        <v>11.908300000000001</v>
      </c>
      <c r="J393" s="81">
        <f>J394</f>
        <v>0</v>
      </c>
      <c r="K393" s="680">
        <f t="shared" si="38"/>
        <v>0</v>
      </c>
      <c r="L393" s="680">
        <f t="shared" si="40"/>
        <v>0</v>
      </c>
    </row>
    <row r="394" spans="1:12" s="63" customFormat="1">
      <c r="A394" s="48" t="s">
        <v>310</v>
      </c>
      <c r="B394" s="70">
        <v>934</v>
      </c>
      <c r="C394" s="68" t="s">
        <v>165</v>
      </c>
      <c r="D394" s="68" t="s">
        <v>155</v>
      </c>
      <c r="E394" s="195" t="s">
        <v>471</v>
      </c>
      <c r="F394" s="68" t="s">
        <v>321</v>
      </c>
      <c r="G394" s="81">
        <v>11.908300000000001</v>
      </c>
      <c r="H394" s="81">
        <v>0</v>
      </c>
      <c r="I394" s="81">
        <v>11.908300000000001</v>
      </c>
      <c r="J394" s="81">
        <v>0</v>
      </c>
      <c r="K394" s="680">
        <f t="shared" si="38"/>
        <v>0</v>
      </c>
      <c r="L394" s="680">
        <f t="shared" si="40"/>
        <v>0</v>
      </c>
    </row>
    <row r="395" spans="1:12" s="63" customFormat="1" ht="31.5">
      <c r="A395" s="496" t="s">
        <v>567</v>
      </c>
      <c r="B395" s="633">
        <v>934</v>
      </c>
      <c r="C395" s="515" t="s">
        <v>165</v>
      </c>
      <c r="D395" s="515" t="s">
        <v>155</v>
      </c>
      <c r="E395" s="515" t="s">
        <v>548</v>
      </c>
      <c r="F395" s="515"/>
      <c r="G395" s="377">
        <f>G396</f>
        <v>159.7116</v>
      </c>
      <c r="H395" s="377">
        <v>0</v>
      </c>
      <c r="I395" s="377">
        <f>I396</f>
        <v>159.7116</v>
      </c>
      <c r="J395" s="377">
        <v>0</v>
      </c>
      <c r="K395" s="680">
        <f t="shared" si="38"/>
        <v>0</v>
      </c>
      <c r="L395" s="680">
        <f t="shared" si="40"/>
        <v>0</v>
      </c>
    </row>
    <row r="396" spans="1:12" s="63" customFormat="1">
      <c r="A396" s="106" t="s">
        <v>651</v>
      </c>
      <c r="B396" s="276">
        <v>934</v>
      </c>
      <c r="C396" s="172" t="s">
        <v>165</v>
      </c>
      <c r="D396" s="172" t="s">
        <v>155</v>
      </c>
      <c r="E396" s="120" t="s">
        <v>548</v>
      </c>
      <c r="F396" s="301"/>
      <c r="G396" s="167">
        <f>G397</f>
        <v>159.7116</v>
      </c>
      <c r="H396" s="318">
        <v>0</v>
      </c>
      <c r="I396" s="167">
        <f>I397</f>
        <v>159.7116</v>
      </c>
      <c r="J396" s="318">
        <v>0</v>
      </c>
      <c r="K396" s="680">
        <f t="shared" si="38"/>
        <v>0</v>
      </c>
      <c r="L396" s="680">
        <f t="shared" si="40"/>
        <v>0</v>
      </c>
    </row>
    <row r="397" spans="1:12" s="63" customFormat="1">
      <c r="A397" s="106" t="s">
        <v>310</v>
      </c>
      <c r="B397" s="70">
        <v>934</v>
      </c>
      <c r="C397" s="68" t="s">
        <v>165</v>
      </c>
      <c r="D397" s="68" t="s">
        <v>155</v>
      </c>
      <c r="E397" s="120" t="s">
        <v>548</v>
      </c>
      <c r="F397" s="68" t="s">
        <v>321</v>
      </c>
      <c r="G397" s="81">
        <v>159.7116</v>
      </c>
      <c r="H397" s="81">
        <v>0</v>
      </c>
      <c r="I397" s="81">
        <v>159.7116</v>
      </c>
      <c r="J397" s="81">
        <v>0</v>
      </c>
      <c r="K397" s="680">
        <f t="shared" si="38"/>
        <v>0</v>
      </c>
      <c r="L397" s="680">
        <f t="shared" si="40"/>
        <v>0</v>
      </c>
    </row>
    <row r="398" spans="1:12" s="63" customFormat="1" ht="33" hidden="1" customHeight="1">
      <c r="A398" s="161" t="s">
        <v>819</v>
      </c>
      <c r="B398" s="160">
        <v>934</v>
      </c>
      <c r="C398" s="160">
        <v>14</v>
      </c>
      <c r="D398" s="153" t="s">
        <v>155</v>
      </c>
      <c r="E398" s="153" t="s">
        <v>536</v>
      </c>
      <c r="F398" s="497"/>
      <c r="G398" s="499">
        <f>G399+G401+G403+G405+G407</f>
        <v>0</v>
      </c>
      <c r="H398" s="499">
        <f>H399+H401+H403+H407</f>
        <v>0</v>
      </c>
      <c r="I398" s="499">
        <f>I399+I401+I403+I405+I407</f>
        <v>0</v>
      </c>
      <c r="J398" s="499">
        <f>J399+J401+J403+J407</f>
        <v>0</v>
      </c>
      <c r="K398" s="680">
        <f t="shared" ref="K398:K418" si="44">G398-I398</f>
        <v>0</v>
      </c>
      <c r="L398" s="680">
        <f t="shared" si="40"/>
        <v>0</v>
      </c>
    </row>
    <row r="399" spans="1:12" s="63" customFormat="1" ht="33" hidden="1" customHeight="1">
      <c r="A399" s="173" t="s">
        <v>1013</v>
      </c>
      <c r="B399" s="383">
        <v>934</v>
      </c>
      <c r="C399" s="383">
        <v>14</v>
      </c>
      <c r="D399" s="410" t="s">
        <v>155</v>
      </c>
      <c r="E399" s="120" t="s">
        <v>1001</v>
      </c>
      <c r="F399" s="542"/>
      <c r="G399" s="705">
        <f t="shared" ref="G399:J399" si="45">G400</f>
        <v>0</v>
      </c>
      <c r="H399" s="499">
        <f t="shared" si="45"/>
        <v>0</v>
      </c>
      <c r="I399" s="705">
        <f t="shared" si="45"/>
        <v>0</v>
      </c>
      <c r="J399" s="499">
        <f t="shared" si="45"/>
        <v>0</v>
      </c>
      <c r="K399" s="680">
        <f t="shared" si="44"/>
        <v>0</v>
      </c>
      <c r="L399" s="680">
        <f t="shared" si="40"/>
        <v>0</v>
      </c>
    </row>
    <row r="400" spans="1:12" s="63" customFormat="1" hidden="1">
      <c r="A400" s="48" t="s">
        <v>310</v>
      </c>
      <c r="B400" s="383">
        <v>934</v>
      </c>
      <c r="C400" s="383">
        <v>14</v>
      </c>
      <c r="D400" s="410" t="s">
        <v>155</v>
      </c>
      <c r="E400" s="120" t="s">
        <v>1001</v>
      </c>
      <c r="F400" s="383">
        <v>540</v>
      </c>
      <c r="G400" s="432"/>
      <c r="H400" s="81">
        <f>G400</f>
        <v>0</v>
      </c>
      <c r="I400" s="432"/>
      <c r="J400" s="81">
        <f>I400</f>
        <v>0</v>
      </c>
      <c r="K400" s="680">
        <f t="shared" si="44"/>
        <v>0</v>
      </c>
      <c r="L400" s="680">
        <f t="shared" si="40"/>
        <v>0</v>
      </c>
    </row>
    <row r="401" spans="1:12" s="63" customFormat="1" ht="63" hidden="1">
      <c r="A401" s="707" t="s">
        <v>70</v>
      </c>
      <c r="B401" s="275">
        <v>934</v>
      </c>
      <c r="C401" s="168" t="s">
        <v>165</v>
      </c>
      <c r="D401" s="168" t="s">
        <v>155</v>
      </c>
      <c r="E401" s="172" t="s">
        <v>545</v>
      </c>
      <c r="F401" s="383"/>
      <c r="G401" s="432">
        <f>G402</f>
        <v>0</v>
      </c>
      <c r="H401" s="81">
        <f>H402</f>
        <v>0</v>
      </c>
      <c r="I401" s="432">
        <f>I402</f>
        <v>0</v>
      </c>
      <c r="J401" s="81">
        <f>J402</f>
        <v>0</v>
      </c>
      <c r="K401" s="680">
        <f t="shared" si="44"/>
        <v>0</v>
      </c>
      <c r="L401" s="680">
        <f t="shared" si="40"/>
        <v>0</v>
      </c>
    </row>
    <row r="402" spans="1:12" s="63" customFormat="1" hidden="1">
      <c r="A402" s="409" t="s">
        <v>310</v>
      </c>
      <c r="B402" s="68" t="s">
        <v>140</v>
      </c>
      <c r="C402" s="68" t="s">
        <v>165</v>
      </c>
      <c r="D402" s="68" t="s">
        <v>155</v>
      </c>
      <c r="E402" s="68" t="s">
        <v>545</v>
      </c>
      <c r="F402" s="383">
        <v>540</v>
      </c>
      <c r="G402" s="432"/>
      <c r="H402" s="81">
        <f>G402</f>
        <v>0</v>
      </c>
      <c r="I402" s="432"/>
      <c r="J402" s="81">
        <f>I402</f>
        <v>0</v>
      </c>
      <c r="K402" s="680">
        <f t="shared" si="44"/>
        <v>0</v>
      </c>
      <c r="L402" s="680">
        <f t="shared" si="40"/>
        <v>0</v>
      </c>
    </row>
    <row r="403" spans="1:12" s="63" customFormat="1" ht="47.25" hidden="1">
      <c r="A403" s="123" t="s">
        <v>983</v>
      </c>
      <c r="B403" s="68" t="s">
        <v>140</v>
      </c>
      <c r="C403" s="68" t="s">
        <v>165</v>
      </c>
      <c r="D403" s="68" t="s">
        <v>155</v>
      </c>
      <c r="E403" s="68" t="s">
        <v>995</v>
      </c>
      <c r="F403" s="383"/>
      <c r="G403" s="432">
        <f>G404</f>
        <v>0</v>
      </c>
      <c r="H403" s="81">
        <f>H404</f>
        <v>0</v>
      </c>
      <c r="I403" s="432">
        <f>I404</f>
        <v>0</v>
      </c>
      <c r="J403" s="81">
        <f>J404</f>
        <v>0</v>
      </c>
      <c r="K403" s="680">
        <f t="shared" si="44"/>
        <v>0</v>
      </c>
      <c r="L403" s="680">
        <f t="shared" si="40"/>
        <v>0</v>
      </c>
    </row>
    <row r="404" spans="1:12" s="63" customFormat="1" hidden="1">
      <c r="A404" s="409" t="s">
        <v>310</v>
      </c>
      <c r="B404" s="68" t="s">
        <v>140</v>
      </c>
      <c r="C404" s="68" t="s">
        <v>165</v>
      </c>
      <c r="D404" s="68" t="s">
        <v>155</v>
      </c>
      <c r="E404" s="68" t="s">
        <v>995</v>
      </c>
      <c r="F404" s="383">
        <v>540</v>
      </c>
      <c r="G404" s="432"/>
      <c r="H404" s="81">
        <f>G404</f>
        <v>0</v>
      </c>
      <c r="I404" s="432"/>
      <c r="J404" s="81">
        <f>I404</f>
        <v>0</v>
      </c>
      <c r="K404" s="680">
        <f t="shared" si="44"/>
        <v>0</v>
      </c>
      <c r="L404" s="680">
        <f t="shared" si="40"/>
        <v>0</v>
      </c>
    </row>
    <row r="405" spans="1:12" s="63" customFormat="1" ht="63" hidden="1">
      <c r="A405" s="123" t="s">
        <v>985</v>
      </c>
      <c r="B405" s="68" t="s">
        <v>140</v>
      </c>
      <c r="C405" s="68" t="s">
        <v>165</v>
      </c>
      <c r="D405" s="68" t="s">
        <v>155</v>
      </c>
      <c r="E405" s="68" t="s">
        <v>995</v>
      </c>
      <c r="F405" s="383"/>
      <c r="G405" s="432">
        <f>G406</f>
        <v>0</v>
      </c>
      <c r="H405" s="81">
        <f>H406</f>
        <v>0</v>
      </c>
      <c r="I405" s="432">
        <f>I406</f>
        <v>0</v>
      </c>
      <c r="J405" s="81">
        <f>J406</f>
        <v>0</v>
      </c>
      <c r="K405" s="680">
        <f t="shared" si="44"/>
        <v>0</v>
      </c>
      <c r="L405" s="680">
        <f t="shared" si="40"/>
        <v>0</v>
      </c>
    </row>
    <row r="406" spans="1:12" s="63" customFormat="1" hidden="1">
      <c r="A406" s="409" t="s">
        <v>310</v>
      </c>
      <c r="B406" s="68" t="s">
        <v>140</v>
      </c>
      <c r="C406" s="68" t="s">
        <v>165</v>
      </c>
      <c r="D406" s="68" t="s">
        <v>155</v>
      </c>
      <c r="E406" s="68" t="s">
        <v>995</v>
      </c>
      <c r="F406" s="383">
        <v>540</v>
      </c>
      <c r="G406" s="432"/>
      <c r="H406" s="81"/>
      <c r="I406" s="432"/>
      <c r="J406" s="81"/>
      <c r="K406" s="680">
        <f t="shared" si="44"/>
        <v>0</v>
      </c>
      <c r="L406" s="680">
        <f t="shared" si="40"/>
        <v>0</v>
      </c>
    </row>
    <row r="407" spans="1:12" s="63" customFormat="1" ht="63" hidden="1">
      <c r="A407" s="48" t="s">
        <v>538</v>
      </c>
      <c r="B407" s="68" t="s">
        <v>140</v>
      </c>
      <c r="C407" s="68" t="s">
        <v>165</v>
      </c>
      <c r="D407" s="68" t="s">
        <v>155</v>
      </c>
      <c r="E407" s="68" t="s">
        <v>546</v>
      </c>
      <c r="F407" s="383"/>
      <c r="G407" s="432">
        <f>G408</f>
        <v>0</v>
      </c>
      <c r="H407" s="81">
        <f>H408</f>
        <v>0</v>
      </c>
      <c r="I407" s="432">
        <f>I408</f>
        <v>0</v>
      </c>
      <c r="J407" s="81">
        <f>J408</f>
        <v>0</v>
      </c>
      <c r="K407" s="680">
        <f t="shared" si="44"/>
        <v>0</v>
      </c>
      <c r="L407" s="680">
        <f t="shared" si="40"/>
        <v>0</v>
      </c>
    </row>
    <row r="408" spans="1:12" s="63" customFormat="1" hidden="1">
      <c r="A408" s="409" t="s">
        <v>310</v>
      </c>
      <c r="B408" s="68" t="s">
        <v>140</v>
      </c>
      <c r="C408" s="68" t="s">
        <v>165</v>
      </c>
      <c r="D408" s="68" t="s">
        <v>155</v>
      </c>
      <c r="E408" s="68" t="s">
        <v>546</v>
      </c>
      <c r="F408" s="383">
        <v>540</v>
      </c>
      <c r="G408" s="432"/>
      <c r="H408" s="81">
        <f>G408</f>
        <v>0</v>
      </c>
      <c r="I408" s="432"/>
      <c r="J408" s="81">
        <f>I408</f>
        <v>0</v>
      </c>
      <c r="K408" s="680">
        <f t="shared" si="44"/>
        <v>0</v>
      </c>
      <c r="L408" s="680">
        <f t="shared" si="40"/>
        <v>0</v>
      </c>
    </row>
    <row r="409" spans="1:12" s="63" customFormat="1" ht="31.5">
      <c r="A409" s="516" t="s">
        <v>940</v>
      </c>
      <c r="B409" s="633">
        <v>934</v>
      </c>
      <c r="C409" s="633">
        <v>14</v>
      </c>
      <c r="D409" s="515" t="s">
        <v>155</v>
      </c>
      <c r="E409" s="683" t="s">
        <v>414</v>
      </c>
      <c r="F409" s="638"/>
      <c r="G409" s="639">
        <f>G410</f>
        <v>130.05000000000001</v>
      </c>
      <c r="H409" s="639">
        <f>H410</f>
        <v>0</v>
      </c>
      <c r="I409" s="639">
        <f>I410</f>
        <v>130.05000000000001</v>
      </c>
      <c r="J409" s="639">
        <f>J410</f>
        <v>0</v>
      </c>
      <c r="K409" s="680">
        <f t="shared" si="44"/>
        <v>0</v>
      </c>
      <c r="L409" s="680">
        <f t="shared" si="40"/>
        <v>0</v>
      </c>
    </row>
    <row r="410" spans="1:12" s="63" customFormat="1">
      <c r="A410" s="516" t="s">
        <v>653</v>
      </c>
      <c r="B410" s="633">
        <v>934</v>
      </c>
      <c r="C410" s="633">
        <v>14</v>
      </c>
      <c r="D410" s="515" t="s">
        <v>155</v>
      </c>
      <c r="E410" s="683" t="s">
        <v>993</v>
      </c>
      <c r="F410" s="638"/>
      <c r="G410" s="639">
        <f>G411+G413</f>
        <v>130.05000000000001</v>
      </c>
      <c r="H410" s="639">
        <f>H411+H413</f>
        <v>0</v>
      </c>
      <c r="I410" s="639">
        <f>I411+I413</f>
        <v>130.05000000000001</v>
      </c>
      <c r="J410" s="639">
        <f>J411+J413</f>
        <v>0</v>
      </c>
      <c r="K410" s="680">
        <f t="shared" si="44"/>
        <v>0</v>
      </c>
      <c r="L410" s="680">
        <f t="shared" ref="L410:L473" si="46">H410-J410</f>
        <v>0</v>
      </c>
    </row>
    <row r="411" spans="1:12" s="63" customFormat="1" ht="73.5" hidden="1" customHeight="1">
      <c r="A411" s="48" t="s">
        <v>942</v>
      </c>
      <c r="B411" s="70">
        <v>934</v>
      </c>
      <c r="C411" s="70">
        <v>14</v>
      </c>
      <c r="D411" s="68" t="s">
        <v>155</v>
      </c>
      <c r="E411" s="410" t="s">
        <v>625</v>
      </c>
      <c r="F411" s="383"/>
      <c r="G411" s="432">
        <f>G412</f>
        <v>0</v>
      </c>
      <c r="H411" s="81">
        <f>H412</f>
        <v>0</v>
      </c>
      <c r="I411" s="432">
        <f>I412</f>
        <v>0</v>
      </c>
      <c r="J411" s="81">
        <f>J412</f>
        <v>0</v>
      </c>
      <c r="K411" s="680">
        <f t="shared" si="44"/>
        <v>0</v>
      </c>
      <c r="L411" s="680">
        <f t="shared" si="46"/>
        <v>0</v>
      </c>
    </row>
    <row r="412" spans="1:12" s="63" customFormat="1" hidden="1">
      <c r="A412" s="409" t="s">
        <v>310</v>
      </c>
      <c r="B412" s="70">
        <v>934</v>
      </c>
      <c r="C412" s="70">
        <v>14</v>
      </c>
      <c r="D412" s="68" t="s">
        <v>155</v>
      </c>
      <c r="E412" s="410" t="s">
        <v>625</v>
      </c>
      <c r="F412" s="383">
        <v>540</v>
      </c>
      <c r="G412" s="432"/>
      <c r="H412" s="81">
        <f>G412</f>
        <v>0</v>
      </c>
      <c r="I412" s="432"/>
      <c r="J412" s="81">
        <f>I412</f>
        <v>0</v>
      </c>
      <c r="K412" s="680">
        <f t="shared" si="44"/>
        <v>0</v>
      </c>
      <c r="L412" s="680">
        <f t="shared" si="46"/>
        <v>0</v>
      </c>
    </row>
    <row r="413" spans="1:12" s="63" customFormat="1" ht="84.75" customHeight="1">
      <c r="A413" s="48" t="s">
        <v>539</v>
      </c>
      <c r="B413" s="70">
        <v>934</v>
      </c>
      <c r="C413" s="70">
        <v>14</v>
      </c>
      <c r="D413" s="68" t="s">
        <v>155</v>
      </c>
      <c r="E413" s="410" t="s">
        <v>625</v>
      </c>
      <c r="F413" s="383"/>
      <c r="G413" s="432">
        <f>G414</f>
        <v>130.05000000000001</v>
      </c>
      <c r="H413" s="81">
        <f>H414</f>
        <v>0</v>
      </c>
      <c r="I413" s="432">
        <f>I414</f>
        <v>130.05000000000001</v>
      </c>
      <c r="J413" s="81">
        <f>J414</f>
        <v>0</v>
      </c>
      <c r="K413" s="680">
        <f t="shared" si="44"/>
        <v>0</v>
      </c>
      <c r="L413" s="680">
        <f t="shared" si="46"/>
        <v>0</v>
      </c>
    </row>
    <row r="414" spans="1:12" s="63" customFormat="1">
      <c r="A414" s="409" t="s">
        <v>310</v>
      </c>
      <c r="B414" s="70">
        <v>934</v>
      </c>
      <c r="C414" s="70">
        <v>14</v>
      </c>
      <c r="D414" s="68" t="s">
        <v>155</v>
      </c>
      <c r="E414" s="410" t="s">
        <v>625</v>
      </c>
      <c r="F414" s="383">
        <v>540</v>
      </c>
      <c r="G414" s="432">
        <v>130.05000000000001</v>
      </c>
      <c r="H414" s="81">
        <v>0</v>
      </c>
      <c r="I414" s="432">
        <v>130.05000000000001</v>
      </c>
      <c r="J414" s="81">
        <v>0</v>
      </c>
      <c r="K414" s="680">
        <f t="shared" si="44"/>
        <v>0</v>
      </c>
      <c r="L414" s="680">
        <f t="shared" si="46"/>
        <v>0</v>
      </c>
    </row>
    <row r="415" spans="1:12" s="63" customFormat="1" ht="31.5">
      <c r="A415" s="496" t="s">
        <v>1014</v>
      </c>
      <c r="B415" s="633">
        <v>934</v>
      </c>
      <c r="C415" s="633">
        <v>14</v>
      </c>
      <c r="D415" s="515" t="s">
        <v>155</v>
      </c>
      <c r="E415" s="153" t="s">
        <v>616</v>
      </c>
      <c r="F415" s="497"/>
      <c r="G415" s="499">
        <f>G416</f>
        <v>2000</v>
      </c>
      <c r="H415" s="81">
        <v>0</v>
      </c>
      <c r="I415" s="499">
        <f>I416</f>
        <v>0</v>
      </c>
      <c r="J415" s="81"/>
      <c r="K415" s="680">
        <f t="shared" si="44"/>
        <v>2000</v>
      </c>
      <c r="L415" s="680">
        <f t="shared" si="46"/>
        <v>0</v>
      </c>
    </row>
    <row r="416" spans="1:12" s="63" customFormat="1">
      <c r="A416" s="409" t="s">
        <v>310</v>
      </c>
      <c r="B416" s="70">
        <v>934</v>
      </c>
      <c r="C416" s="70">
        <v>14</v>
      </c>
      <c r="D416" s="68" t="s">
        <v>155</v>
      </c>
      <c r="E416" s="172" t="s">
        <v>616</v>
      </c>
      <c r="F416" s="383">
        <v>540</v>
      </c>
      <c r="G416" s="432">
        <v>2000</v>
      </c>
      <c r="H416" s="81">
        <v>0</v>
      </c>
      <c r="I416" s="432"/>
      <c r="J416" s="81"/>
      <c r="K416" s="680">
        <f t="shared" si="44"/>
        <v>2000</v>
      </c>
      <c r="L416" s="680">
        <f t="shared" si="46"/>
        <v>0</v>
      </c>
    </row>
    <row r="417" spans="1:12" s="63" customFormat="1" ht="31.5">
      <c r="A417" s="496" t="s">
        <v>949</v>
      </c>
      <c r="B417" s="633">
        <v>934</v>
      </c>
      <c r="C417" s="633">
        <v>14</v>
      </c>
      <c r="D417" s="515" t="s">
        <v>155</v>
      </c>
      <c r="E417" s="636" t="s">
        <v>550</v>
      </c>
      <c r="F417" s="638"/>
      <c r="G417" s="639">
        <f>G418+G419+G421+G423+G427+G425</f>
        <v>4236.8519999999999</v>
      </c>
      <c r="H417" s="377">
        <f>H419+H423+H427</f>
        <v>0</v>
      </c>
      <c r="I417" s="639">
        <f>I418+I419+I421+I423+I427+I425</f>
        <v>4236.8519999999999</v>
      </c>
      <c r="J417" s="377">
        <f>J419+J423+J427</f>
        <v>0</v>
      </c>
      <c r="K417" s="680">
        <f t="shared" si="44"/>
        <v>0</v>
      </c>
      <c r="L417" s="680">
        <f t="shared" si="46"/>
        <v>0</v>
      </c>
    </row>
    <row r="418" spans="1:12" s="63" customFormat="1">
      <c r="A418" s="409" t="s">
        <v>310</v>
      </c>
      <c r="B418" s="70">
        <v>934</v>
      </c>
      <c r="C418" s="70">
        <v>14</v>
      </c>
      <c r="D418" s="68" t="s">
        <v>155</v>
      </c>
      <c r="E418" s="508" t="s">
        <v>550</v>
      </c>
      <c r="F418" s="383">
        <v>540</v>
      </c>
      <c r="G418" s="432">
        <v>4236.8519999999999</v>
      </c>
      <c r="H418" s="81">
        <v>0</v>
      </c>
      <c r="I418" s="432">
        <v>4236.8519999999999</v>
      </c>
      <c r="J418" s="81"/>
      <c r="K418" s="680">
        <f t="shared" si="44"/>
        <v>0</v>
      </c>
      <c r="L418" s="680">
        <f t="shared" si="46"/>
        <v>0</v>
      </c>
    </row>
    <row r="419" spans="1:12" s="63" customFormat="1" ht="47.25" hidden="1">
      <c r="A419" s="123" t="s">
        <v>547</v>
      </c>
      <c r="B419" s="68" t="s">
        <v>140</v>
      </c>
      <c r="C419" s="68" t="s">
        <v>165</v>
      </c>
      <c r="D419" s="68" t="s">
        <v>155</v>
      </c>
      <c r="E419" s="68" t="s">
        <v>1029</v>
      </c>
      <c r="F419" s="383"/>
      <c r="G419" s="432">
        <f>G420</f>
        <v>0</v>
      </c>
      <c r="H419" s="81">
        <f>H420</f>
        <v>0</v>
      </c>
      <c r="I419" s="432">
        <f>I420</f>
        <v>0</v>
      </c>
      <c r="J419" s="81">
        <f>J420</f>
        <v>0</v>
      </c>
      <c r="K419" s="680">
        <f t="shared" ref="K419:K473" si="47">G419-I419</f>
        <v>0</v>
      </c>
      <c r="L419" s="680">
        <f t="shared" si="46"/>
        <v>0</v>
      </c>
    </row>
    <row r="420" spans="1:12" s="63" customFormat="1" hidden="1">
      <c r="A420" s="409" t="s">
        <v>310</v>
      </c>
      <c r="B420" s="68" t="s">
        <v>140</v>
      </c>
      <c r="C420" s="68" t="s">
        <v>165</v>
      </c>
      <c r="D420" s="68" t="s">
        <v>155</v>
      </c>
      <c r="E420" s="68" t="s">
        <v>1029</v>
      </c>
      <c r="F420" s="383">
        <v>540</v>
      </c>
      <c r="G420" s="432"/>
      <c r="H420" s="81">
        <f>G420</f>
        <v>0</v>
      </c>
      <c r="I420" s="432"/>
      <c r="J420" s="81">
        <f>I420</f>
        <v>0</v>
      </c>
      <c r="K420" s="680">
        <f t="shared" si="47"/>
        <v>0</v>
      </c>
      <c r="L420" s="680">
        <f t="shared" si="46"/>
        <v>0</v>
      </c>
    </row>
    <row r="421" spans="1:12" s="63" customFormat="1" ht="63" hidden="1">
      <c r="A421" s="123" t="s">
        <v>894</v>
      </c>
      <c r="B421" s="68" t="s">
        <v>140</v>
      </c>
      <c r="C421" s="68" t="s">
        <v>165</v>
      </c>
      <c r="D421" s="68" t="s">
        <v>155</v>
      </c>
      <c r="E421" s="68" t="s">
        <v>1029</v>
      </c>
      <c r="F421" s="383"/>
      <c r="G421" s="432">
        <f>G422</f>
        <v>0</v>
      </c>
      <c r="H421" s="81"/>
      <c r="I421" s="432">
        <f>I422</f>
        <v>0</v>
      </c>
      <c r="J421" s="81"/>
      <c r="K421" s="680">
        <f t="shared" si="47"/>
        <v>0</v>
      </c>
      <c r="L421" s="680">
        <f t="shared" si="46"/>
        <v>0</v>
      </c>
    </row>
    <row r="422" spans="1:12" s="63" customFormat="1" hidden="1">
      <c r="A422" s="409" t="s">
        <v>310</v>
      </c>
      <c r="B422" s="68" t="s">
        <v>140</v>
      </c>
      <c r="C422" s="68" t="s">
        <v>165</v>
      </c>
      <c r="D422" s="68" t="s">
        <v>155</v>
      </c>
      <c r="E422" s="68" t="s">
        <v>1029</v>
      </c>
      <c r="F422" s="383">
        <v>540</v>
      </c>
      <c r="G422" s="432"/>
      <c r="H422" s="81"/>
      <c r="I422" s="432"/>
      <c r="J422" s="81"/>
      <c r="K422" s="680">
        <f t="shared" si="47"/>
        <v>0</v>
      </c>
      <c r="L422" s="680">
        <f t="shared" si="46"/>
        <v>0</v>
      </c>
    </row>
    <row r="423" spans="1:12" s="63" customFormat="1" ht="47.25" hidden="1">
      <c r="A423" s="123" t="s">
        <v>898</v>
      </c>
      <c r="B423" s="68" t="s">
        <v>140</v>
      </c>
      <c r="C423" s="68" t="s">
        <v>165</v>
      </c>
      <c r="D423" s="68" t="s">
        <v>155</v>
      </c>
      <c r="E423" s="68" t="s">
        <v>877</v>
      </c>
      <c r="F423" s="383"/>
      <c r="G423" s="432">
        <f>G424</f>
        <v>0</v>
      </c>
      <c r="H423" s="81">
        <f>G423</f>
        <v>0</v>
      </c>
      <c r="I423" s="432">
        <f>I424</f>
        <v>0</v>
      </c>
      <c r="J423" s="81">
        <f>I423</f>
        <v>0</v>
      </c>
      <c r="K423" s="680">
        <f t="shared" si="47"/>
        <v>0</v>
      </c>
      <c r="L423" s="680">
        <f t="shared" si="46"/>
        <v>0</v>
      </c>
    </row>
    <row r="424" spans="1:12" s="63" customFormat="1" hidden="1">
      <c r="A424" s="409" t="s">
        <v>310</v>
      </c>
      <c r="B424" s="68" t="s">
        <v>140</v>
      </c>
      <c r="C424" s="68" t="s">
        <v>165</v>
      </c>
      <c r="D424" s="68" t="s">
        <v>155</v>
      </c>
      <c r="E424" s="68" t="s">
        <v>877</v>
      </c>
      <c r="F424" s="383">
        <v>540</v>
      </c>
      <c r="G424" s="432"/>
      <c r="H424" s="81">
        <f>G424</f>
        <v>0</v>
      </c>
      <c r="I424" s="432"/>
      <c r="J424" s="81">
        <f>I424</f>
        <v>0</v>
      </c>
      <c r="K424" s="680">
        <f t="shared" si="47"/>
        <v>0</v>
      </c>
      <c r="L424" s="680">
        <f t="shared" si="46"/>
        <v>0</v>
      </c>
    </row>
    <row r="425" spans="1:12" s="63" customFormat="1" ht="63" hidden="1">
      <c r="A425" s="48" t="s">
        <v>1061</v>
      </c>
      <c r="B425" s="68" t="s">
        <v>140</v>
      </c>
      <c r="C425" s="68" t="s">
        <v>165</v>
      </c>
      <c r="D425" s="68" t="s">
        <v>155</v>
      </c>
      <c r="E425" s="68" t="s">
        <v>877</v>
      </c>
      <c r="F425" s="383"/>
      <c r="G425" s="432">
        <f>G426</f>
        <v>0</v>
      </c>
      <c r="H425" s="81">
        <v>0</v>
      </c>
      <c r="I425" s="432">
        <f>I426</f>
        <v>0</v>
      </c>
      <c r="J425" s="81">
        <v>0</v>
      </c>
      <c r="K425" s="680">
        <f t="shared" si="47"/>
        <v>0</v>
      </c>
      <c r="L425" s="680">
        <f t="shared" si="46"/>
        <v>0</v>
      </c>
    </row>
    <row r="426" spans="1:12" s="63" customFormat="1" hidden="1">
      <c r="A426" s="409" t="s">
        <v>310</v>
      </c>
      <c r="B426" s="68" t="s">
        <v>140</v>
      </c>
      <c r="C426" s="68" t="s">
        <v>165</v>
      </c>
      <c r="D426" s="68" t="s">
        <v>155</v>
      </c>
      <c r="E426" s="68" t="s">
        <v>877</v>
      </c>
      <c r="F426" s="383">
        <v>540</v>
      </c>
      <c r="G426" s="432"/>
      <c r="H426" s="81">
        <v>0</v>
      </c>
      <c r="I426" s="432"/>
      <c r="J426" s="81">
        <v>0</v>
      </c>
      <c r="K426" s="680">
        <f t="shared" si="47"/>
        <v>0</v>
      </c>
      <c r="L426" s="680">
        <f t="shared" si="46"/>
        <v>0</v>
      </c>
    </row>
    <row r="427" spans="1:12" s="63" customFormat="1" ht="63" hidden="1" customHeight="1">
      <c r="A427" s="48" t="s">
        <v>1060</v>
      </c>
      <c r="B427" s="68" t="s">
        <v>140</v>
      </c>
      <c r="C427" s="68" t="s">
        <v>165</v>
      </c>
      <c r="D427" s="68" t="s">
        <v>155</v>
      </c>
      <c r="E427" s="68" t="s">
        <v>1059</v>
      </c>
      <c r="F427" s="383"/>
      <c r="G427" s="432">
        <f>G428</f>
        <v>0</v>
      </c>
      <c r="H427" s="81">
        <f>H428</f>
        <v>0</v>
      </c>
      <c r="I427" s="432">
        <f>I428</f>
        <v>0</v>
      </c>
      <c r="J427" s="81">
        <f>J428</f>
        <v>0</v>
      </c>
      <c r="K427" s="680">
        <f t="shared" si="47"/>
        <v>0</v>
      </c>
      <c r="L427" s="680">
        <f t="shared" si="46"/>
        <v>0</v>
      </c>
    </row>
    <row r="428" spans="1:12" s="63" customFormat="1" hidden="1">
      <c r="A428" s="409" t="s">
        <v>310</v>
      </c>
      <c r="B428" s="68" t="s">
        <v>140</v>
      </c>
      <c r="C428" s="68" t="s">
        <v>165</v>
      </c>
      <c r="D428" s="68" t="s">
        <v>155</v>
      </c>
      <c r="E428" s="68" t="s">
        <v>1059</v>
      </c>
      <c r="F428" s="383">
        <v>540</v>
      </c>
      <c r="G428" s="432"/>
      <c r="H428" s="81">
        <f>G428</f>
        <v>0</v>
      </c>
      <c r="I428" s="432"/>
      <c r="J428" s="81">
        <f>I428</f>
        <v>0</v>
      </c>
      <c r="K428" s="680">
        <f t="shared" si="47"/>
        <v>0</v>
      </c>
      <c r="L428" s="680">
        <f t="shared" si="46"/>
        <v>0</v>
      </c>
    </row>
    <row r="429" spans="1:12" s="63" customFormat="1" ht="31.5" hidden="1">
      <c r="A429" s="142" t="s">
        <v>692</v>
      </c>
      <c r="B429" s="153" t="s">
        <v>140</v>
      </c>
      <c r="C429" s="153" t="s">
        <v>165</v>
      </c>
      <c r="D429" s="153" t="s">
        <v>155</v>
      </c>
      <c r="E429" s="153" t="s">
        <v>387</v>
      </c>
      <c r="F429" s="497"/>
      <c r="G429" s="499">
        <f>G430</f>
        <v>0</v>
      </c>
      <c r="H429" s="81"/>
      <c r="I429" s="499">
        <f>I430</f>
        <v>0</v>
      </c>
      <c r="J429" s="81"/>
      <c r="K429" s="680">
        <f t="shared" si="47"/>
        <v>0</v>
      </c>
      <c r="L429" s="680">
        <f t="shared" si="46"/>
        <v>0</v>
      </c>
    </row>
    <row r="430" spans="1:12" s="63" customFormat="1" ht="31.5" hidden="1">
      <c r="A430" s="142" t="s">
        <v>640</v>
      </c>
      <c r="B430" s="153" t="s">
        <v>140</v>
      </c>
      <c r="C430" s="153" t="s">
        <v>165</v>
      </c>
      <c r="D430" s="153" t="s">
        <v>155</v>
      </c>
      <c r="E430" s="153" t="s">
        <v>387</v>
      </c>
      <c r="F430" s="497"/>
      <c r="G430" s="499">
        <f>G431</f>
        <v>0</v>
      </c>
      <c r="H430" s="81"/>
      <c r="I430" s="499">
        <f>I431</f>
        <v>0</v>
      </c>
      <c r="J430" s="81"/>
      <c r="K430" s="680">
        <f t="shared" si="47"/>
        <v>0</v>
      </c>
      <c r="L430" s="680">
        <f t="shared" si="46"/>
        <v>0</v>
      </c>
    </row>
    <row r="431" spans="1:12" s="63" customFormat="1" ht="47.25" hidden="1">
      <c r="A431" s="186" t="s">
        <v>1046</v>
      </c>
      <c r="B431" s="68" t="s">
        <v>140</v>
      </c>
      <c r="C431" s="68" t="s">
        <v>165</v>
      </c>
      <c r="D431" s="68" t="s">
        <v>155</v>
      </c>
      <c r="E431" s="120" t="s">
        <v>387</v>
      </c>
      <c r="F431" s="383"/>
      <c r="G431" s="432">
        <f>G432</f>
        <v>0</v>
      </c>
      <c r="H431" s="81"/>
      <c r="I431" s="432">
        <f>I432</f>
        <v>0</v>
      </c>
      <c r="J431" s="81"/>
      <c r="K431" s="680">
        <f t="shared" si="47"/>
        <v>0</v>
      </c>
      <c r="L431" s="680">
        <f t="shared" si="46"/>
        <v>0</v>
      </c>
    </row>
    <row r="432" spans="1:12" s="63" customFormat="1" hidden="1">
      <c r="A432" s="409" t="s">
        <v>310</v>
      </c>
      <c r="B432" s="68" t="s">
        <v>140</v>
      </c>
      <c r="C432" s="68" t="s">
        <v>165</v>
      </c>
      <c r="D432" s="68" t="s">
        <v>155</v>
      </c>
      <c r="E432" s="120" t="s">
        <v>387</v>
      </c>
      <c r="F432" s="383">
        <v>540</v>
      </c>
      <c r="G432" s="432"/>
      <c r="H432" s="81"/>
      <c r="I432" s="432"/>
      <c r="J432" s="81"/>
      <c r="K432" s="680">
        <f t="shared" si="47"/>
        <v>0</v>
      </c>
      <c r="L432" s="680">
        <f t="shared" si="46"/>
        <v>0</v>
      </c>
    </row>
    <row r="433" spans="1:12" s="64" customFormat="1">
      <c r="A433" s="95" t="s">
        <v>81</v>
      </c>
      <c r="B433" s="72" t="s">
        <v>82</v>
      </c>
      <c r="C433" s="72"/>
      <c r="D433" s="72"/>
      <c r="E433" s="72"/>
      <c r="F433" s="72"/>
      <c r="G433" s="73">
        <f>G434+G670</f>
        <v>885679.93058000004</v>
      </c>
      <c r="H433" s="73">
        <f>H434+H670</f>
        <v>695958.57</v>
      </c>
      <c r="I433" s="73">
        <f>I434+I670</f>
        <v>804732.74251000024</v>
      </c>
      <c r="J433" s="73">
        <f>J434+J670</f>
        <v>602277.9</v>
      </c>
      <c r="K433" s="680">
        <f t="shared" si="47"/>
        <v>80947.1880699998</v>
      </c>
      <c r="L433" s="680">
        <f t="shared" si="46"/>
        <v>93680.669999999925</v>
      </c>
    </row>
    <row r="434" spans="1:12">
      <c r="A434" s="52" t="s">
        <v>307</v>
      </c>
      <c r="B434" s="75" t="s">
        <v>82</v>
      </c>
      <c r="C434" s="75" t="s">
        <v>154</v>
      </c>
      <c r="D434" s="75"/>
      <c r="E434" s="75"/>
      <c r="F434" s="75"/>
      <c r="G434" s="76">
        <f>G435+G478+G555+G579+G610</f>
        <v>884179.93058000004</v>
      </c>
      <c r="H434" s="76">
        <f>H435+H478+H555+H579+H610</f>
        <v>694458.57</v>
      </c>
      <c r="I434" s="76">
        <f>I435+I478+I555+I579+I610</f>
        <v>803232.74251000024</v>
      </c>
      <c r="J434" s="76">
        <f>J435+J478+J555+J579+J610</f>
        <v>600777.9</v>
      </c>
      <c r="K434" s="680">
        <f t="shared" si="47"/>
        <v>80947.1880699998</v>
      </c>
      <c r="L434" s="680">
        <f t="shared" si="46"/>
        <v>93680.669999999925</v>
      </c>
    </row>
    <row r="435" spans="1:12">
      <c r="A435" s="52" t="s">
        <v>274</v>
      </c>
      <c r="B435" s="75" t="s">
        <v>82</v>
      </c>
      <c r="C435" s="75" t="s">
        <v>154</v>
      </c>
      <c r="D435" s="75" t="s">
        <v>152</v>
      </c>
      <c r="E435" s="75"/>
      <c r="F435" s="75"/>
      <c r="G435" s="94">
        <f>G439+G445+G470+G474+G436</f>
        <v>152206.39828999998</v>
      </c>
      <c r="H435" s="94">
        <f>H439+H445+H470</f>
        <v>89932.319289999999</v>
      </c>
      <c r="I435" s="94">
        <f>I439+I445+I470+I474+I436</f>
        <v>149550.079</v>
      </c>
      <c r="J435" s="94">
        <f>J439+J445+J470</f>
        <v>82776</v>
      </c>
      <c r="K435" s="680">
        <f t="shared" si="47"/>
        <v>2656.3192899999849</v>
      </c>
      <c r="L435" s="680">
        <f t="shared" si="46"/>
        <v>7156.3192899999995</v>
      </c>
    </row>
    <row r="436" spans="1:12" ht="47.25" hidden="1">
      <c r="A436" s="496" t="s">
        <v>563</v>
      </c>
      <c r="B436" s="515" t="s">
        <v>82</v>
      </c>
      <c r="C436" s="153" t="s">
        <v>154</v>
      </c>
      <c r="D436" s="153" t="s">
        <v>152</v>
      </c>
      <c r="E436" s="515" t="s">
        <v>391</v>
      </c>
      <c r="F436" s="153"/>
      <c r="G436" s="94">
        <f>G437</f>
        <v>0</v>
      </c>
      <c r="H436" s="94"/>
      <c r="I436" s="94">
        <f>I437</f>
        <v>0</v>
      </c>
      <c r="J436" s="94"/>
      <c r="K436" s="680">
        <f t="shared" si="47"/>
        <v>0</v>
      </c>
      <c r="L436" s="680">
        <f t="shared" si="46"/>
        <v>0</v>
      </c>
    </row>
    <row r="437" spans="1:12" ht="31.5" hidden="1">
      <c r="A437" s="679" t="s">
        <v>647</v>
      </c>
      <c r="B437" s="301" t="s">
        <v>82</v>
      </c>
      <c r="C437" s="68" t="s">
        <v>154</v>
      </c>
      <c r="D437" s="68" t="s">
        <v>152</v>
      </c>
      <c r="E437" s="301" t="s">
        <v>391</v>
      </c>
      <c r="F437" s="68"/>
      <c r="G437" s="94">
        <f>G438</f>
        <v>0</v>
      </c>
      <c r="H437" s="94"/>
      <c r="I437" s="94">
        <f>I438</f>
        <v>0</v>
      </c>
      <c r="J437" s="94"/>
      <c r="K437" s="680">
        <f t="shared" si="47"/>
        <v>0</v>
      </c>
      <c r="L437" s="680">
        <f t="shared" si="46"/>
        <v>0</v>
      </c>
    </row>
    <row r="438" spans="1:12" hidden="1">
      <c r="A438" s="48" t="s">
        <v>269</v>
      </c>
      <c r="B438" s="172" t="s">
        <v>82</v>
      </c>
      <c r="C438" s="68" t="s">
        <v>154</v>
      </c>
      <c r="D438" s="68" t="s">
        <v>152</v>
      </c>
      <c r="E438" s="172" t="s">
        <v>391</v>
      </c>
      <c r="F438" s="68" t="s">
        <v>270</v>
      </c>
      <c r="G438" s="94"/>
      <c r="H438" s="94"/>
      <c r="I438" s="94"/>
      <c r="J438" s="94"/>
      <c r="K438" s="680">
        <f t="shared" si="47"/>
        <v>0</v>
      </c>
      <c r="L438" s="680">
        <f t="shared" si="46"/>
        <v>0</v>
      </c>
    </row>
    <row r="439" spans="1:12" ht="31.5" hidden="1">
      <c r="A439" s="342" t="s">
        <v>819</v>
      </c>
      <c r="B439" s="153" t="s">
        <v>82</v>
      </c>
      <c r="C439" s="153" t="s">
        <v>154</v>
      </c>
      <c r="D439" s="153" t="s">
        <v>152</v>
      </c>
      <c r="E439" s="160" t="s">
        <v>536</v>
      </c>
      <c r="F439" s="515"/>
      <c r="G439" s="377">
        <f>G440+G444</f>
        <v>0</v>
      </c>
      <c r="H439" s="377">
        <f t="shared" ref="H439:J439" si="48">H440</f>
        <v>0</v>
      </c>
      <c r="I439" s="377">
        <f>I440+I444</f>
        <v>0</v>
      </c>
      <c r="J439" s="377">
        <f t="shared" si="48"/>
        <v>0</v>
      </c>
      <c r="K439" s="680">
        <f t="shared" si="47"/>
        <v>0</v>
      </c>
      <c r="L439" s="680">
        <f t="shared" si="46"/>
        <v>0</v>
      </c>
    </row>
    <row r="440" spans="1:12" ht="63" hidden="1">
      <c r="A440" s="707" t="s">
        <v>70</v>
      </c>
      <c r="B440" s="275">
        <v>936</v>
      </c>
      <c r="C440" s="172" t="s">
        <v>154</v>
      </c>
      <c r="D440" s="172" t="s">
        <v>152</v>
      </c>
      <c r="E440" s="172" t="s">
        <v>545</v>
      </c>
      <c r="F440" s="301"/>
      <c r="G440" s="318">
        <f>G441+G442</f>
        <v>0</v>
      </c>
      <c r="H440" s="377">
        <f>H441+H442</f>
        <v>0</v>
      </c>
      <c r="I440" s="318">
        <f>I441+I442</f>
        <v>0</v>
      </c>
      <c r="J440" s="377">
        <f>J441+J442</f>
        <v>0</v>
      </c>
      <c r="K440" s="680">
        <f t="shared" si="47"/>
        <v>0</v>
      </c>
      <c r="L440" s="680">
        <f t="shared" si="46"/>
        <v>0</v>
      </c>
    </row>
    <row r="441" spans="1:12" hidden="1">
      <c r="A441" s="48" t="s">
        <v>205</v>
      </c>
      <c r="B441" s="68" t="s">
        <v>82</v>
      </c>
      <c r="C441" s="68" t="s">
        <v>154</v>
      </c>
      <c r="D441" s="68" t="s">
        <v>152</v>
      </c>
      <c r="E441" s="68" t="s">
        <v>545</v>
      </c>
      <c r="F441" s="68" t="s">
        <v>202</v>
      </c>
      <c r="G441" s="119"/>
      <c r="H441" s="119">
        <f>G441</f>
        <v>0</v>
      </c>
      <c r="I441" s="119"/>
      <c r="J441" s="119">
        <f>I441</f>
        <v>0</v>
      </c>
      <c r="K441" s="680">
        <f t="shared" si="47"/>
        <v>0</v>
      </c>
      <c r="L441" s="680">
        <f t="shared" si="46"/>
        <v>0</v>
      </c>
    </row>
    <row r="442" spans="1:12" ht="78.75" hidden="1">
      <c r="A442" s="707" t="s">
        <v>1030</v>
      </c>
      <c r="B442" s="275">
        <v>936</v>
      </c>
      <c r="C442" s="172" t="s">
        <v>154</v>
      </c>
      <c r="D442" s="172" t="s">
        <v>152</v>
      </c>
      <c r="E442" s="172" t="s">
        <v>545</v>
      </c>
      <c r="F442" s="301"/>
      <c r="G442" s="119">
        <f>G443</f>
        <v>0</v>
      </c>
      <c r="H442" s="119">
        <v>0</v>
      </c>
      <c r="I442" s="119">
        <f>I443</f>
        <v>0</v>
      </c>
      <c r="J442" s="119">
        <v>0</v>
      </c>
      <c r="K442" s="680">
        <f t="shared" si="47"/>
        <v>0</v>
      </c>
      <c r="L442" s="680">
        <f t="shared" si="46"/>
        <v>0</v>
      </c>
    </row>
    <row r="443" spans="1:12" hidden="1">
      <c r="A443" s="48" t="s">
        <v>205</v>
      </c>
      <c r="B443" s="68" t="s">
        <v>82</v>
      </c>
      <c r="C443" s="68" t="s">
        <v>154</v>
      </c>
      <c r="D443" s="68" t="s">
        <v>152</v>
      </c>
      <c r="E443" s="68" t="s">
        <v>545</v>
      </c>
      <c r="F443" s="68" t="s">
        <v>202</v>
      </c>
      <c r="G443" s="119"/>
      <c r="H443" s="119">
        <v>0</v>
      </c>
      <c r="I443" s="119"/>
      <c r="J443" s="119">
        <v>0</v>
      </c>
      <c r="K443" s="680">
        <f t="shared" si="47"/>
        <v>0</v>
      </c>
      <c r="L443" s="680">
        <f t="shared" si="46"/>
        <v>0</v>
      </c>
    </row>
    <row r="444" spans="1:12" hidden="1">
      <c r="A444" s="48" t="s">
        <v>205</v>
      </c>
      <c r="B444" s="68" t="s">
        <v>82</v>
      </c>
      <c r="C444" s="68" t="s">
        <v>154</v>
      </c>
      <c r="D444" s="68" t="s">
        <v>152</v>
      </c>
      <c r="E444" s="139" t="s">
        <v>429</v>
      </c>
      <c r="F444" s="68" t="s">
        <v>202</v>
      </c>
      <c r="G444" s="119"/>
      <c r="H444" s="119"/>
      <c r="I444" s="119"/>
      <c r="J444" s="119"/>
      <c r="K444" s="680">
        <f t="shared" si="47"/>
        <v>0</v>
      </c>
      <c r="L444" s="680">
        <f t="shared" si="46"/>
        <v>0</v>
      </c>
    </row>
    <row r="445" spans="1:12" s="63" customFormat="1" ht="47.25">
      <c r="A445" s="142" t="s">
        <v>946</v>
      </c>
      <c r="B445" s="153" t="s">
        <v>82</v>
      </c>
      <c r="C445" s="153" t="s">
        <v>154</v>
      </c>
      <c r="D445" s="153" t="s">
        <v>152</v>
      </c>
      <c r="E445" s="153" t="s">
        <v>574</v>
      </c>
      <c r="F445" s="153"/>
      <c r="G445" s="162">
        <f>G446+G459+G464</f>
        <v>152206.39828999998</v>
      </c>
      <c r="H445" s="162">
        <f>H446+H459+H464</f>
        <v>89932.319289999999</v>
      </c>
      <c r="I445" s="162">
        <f>I446+I459+I464</f>
        <v>149550.079</v>
      </c>
      <c r="J445" s="162">
        <f>J446+J459+J464</f>
        <v>82776</v>
      </c>
      <c r="K445" s="680">
        <f t="shared" si="47"/>
        <v>2656.3192899999849</v>
      </c>
      <c r="L445" s="680">
        <f t="shared" si="46"/>
        <v>7156.3192899999995</v>
      </c>
    </row>
    <row r="446" spans="1:12" ht="31.5">
      <c r="A446" s="147" t="s">
        <v>350</v>
      </c>
      <c r="B446" s="149" t="s">
        <v>82</v>
      </c>
      <c r="C446" s="149" t="s">
        <v>154</v>
      </c>
      <c r="D446" s="149" t="s">
        <v>152</v>
      </c>
      <c r="E446" s="149" t="s">
        <v>575</v>
      </c>
      <c r="F446" s="149"/>
      <c r="G446" s="150">
        <f>G447+G450+G453+G456</f>
        <v>151571.11828999998</v>
      </c>
      <c r="H446" s="150">
        <f>H447+H450+H453+H456</f>
        <v>89309.319289999999</v>
      </c>
      <c r="I446" s="150">
        <f>I447+I450+I453+I456</f>
        <v>148914.799</v>
      </c>
      <c r="J446" s="150">
        <f>J447+J450+J453+J456</f>
        <v>82153</v>
      </c>
      <c r="K446" s="680">
        <f t="shared" si="47"/>
        <v>2656.3192899999849</v>
      </c>
      <c r="L446" s="680">
        <f t="shared" si="46"/>
        <v>7156.3192899999995</v>
      </c>
    </row>
    <row r="447" spans="1:12" ht="47.25">
      <c r="A447" s="517" t="s">
        <v>576</v>
      </c>
      <c r="B447" s="159">
        <v>936</v>
      </c>
      <c r="C447" s="129" t="s">
        <v>154</v>
      </c>
      <c r="D447" s="129" t="s">
        <v>152</v>
      </c>
      <c r="E447" s="168" t="s">
        <v>577</v>
      </c>
      <c r="F447" s="129"/>
      <c r="G447" s="93">
        <f>G448+G449</f>
        <v>62261.798999999999</v>
      </c>
      <c r="H447" s="93">
        <v>0</v>
      </c>
      <c r="I447" s="93">
        <f>I448+I449</f>
        <v>66761.798999999999</v>
      </c>
      <c r="J447" s="93">
        <v>0</v>
      </c>
      <c r="K447" s="680">
        <f t="shared" si="47"/>
        <v>-4500</v>
      </c>
      <c r="L447" s="680">
        <f t="shared" si="46"/>
        <v>0</v>
      </c>
    </row>
    <row r="448" spans="1:12" ht="47.25">
      <c r="A448" s="48" t="s">
        <v>204</v>
      </c>
      <c r="B448" s="68" t="s">
        <v>82</v>
      </c>
      <c r="C448" s="68" t="s">
        <v>154</v>
      </c>
      <c r="D448" s="68" t="s">
        <v>152</v>
      </c>
      <c r="E448" s="120" t="s">
        <v>578</v>
      </c>
      <c r="F448" s="68" t="s">
        <v>319</v>
      </c>
      <c r="G448" s="167">
        <f>50214.366-1500-2248.608-2851.392+2000</f>
        <v>45614.366000000002</v>
      </c>
      <c r="H448" s="735">
        <v>0</v>
      </c>
      <c r="I448" s="167">
        <f>50214.366-1500</f>
        <v>48714.366000000002</v>
      </c>
      <c r="J448" s="735">
        <v>0</v>
      </c>
      <c r="K448" s="680">
        <f t="shared" si="47"/>
        <v>-3100</v>
      </c>
      <c r="L448" s="680">
        <f t="shared" si="46"/>
        <v>0</v>
      </c>
    </row>
    <row r="449" spans="1:12" s="64" customFormat="1" ht="47.25">
      <c r="A449" s="48" t="s">
        <v>268</v>
      </c>
      <c r="B449" s="68" t="s">
        <v>82</v>
      </c>
      <c r="C449" s="68" t="s">
        <v>154</v>
      </c>
      <c r="D449" s="68" t="s">
        <v>152</v>
      </c>
      <c r="E449" s="120" t="s">
        <v>578</v>
      </c>
      <c r="F449" s="68" t="s">
        <v>320</v>
      </c>
      <c r="G449" s="167">
        <f>10580.7+5643.7+113.233+2709.8-1000-2400+1000</f>
        <v>16647.433000000001</v>
      </c>
      <c r="H449" s="735">
        <v>0</v>
      </c>
      <c r="I449" s="167">
        <f>10580.7+5643.7+113.233+2709.8-1000</f>
        <v>18047.433000000001</v>
      </c>
      <c r="J449" s="735">
        <v>0</v>
      </c>
      <c r="K449" s="680">
        <f t="shared" si="47"/>
        <v>-1400</v>
      </c>
      <c r="L449" s="680">
        <f t="shared" si="46"/>
        <v>0</v>
      </c>
    </row>
    <row r="450" spans="1:12" s="64" customFormat="1" ht="31.5">
      <c r="A450" s="128" t="s">
        <v>275</v>
      </c>
      <c r="B450" s="129" t="s">
        <v>82</v>
      </c>
      <c r="C450" s="129" t="s">
        <v>154</v>
      </c>
      <c r="D450" s="129" t="s">
        <v>152</v>
      </c>
      <c r="E450" s="129" t="s">
        <v>579</v>
      </c>
      <c r="F450" s="120"/>
      <c r="G450" s="119">
        <f>G451+G452</f>
        <v>82345.899999999994</v>
      </c>
      <c r="H450" s="119">
        <f>H451+H452</f>
        <v>82345.899999999994</v>
      </c>
      <c r="I450" s="119">
        <f>I451+I452</f>
        <v>81801</v>
      </c>
      <c r="J450" s="119">
        <f>J451+J452</f>
        <v>81801</v>
      </c>
      <c r="K450" s="680">
        <f t="shared" si="47"/>
        <v>544.89999999999418</v>
      </c>
      <c r="L450" s="680">
        <f t="shared" si="46"/>
        <v>544.89999999999418</v>
      </c>
    </row>
    <row r="451" spans="1:12" s="64" customFormat="1">
      <c r="A451" s="138" t="s">
        <v>205</v>
      </c>
      <c r="B451" s="120" t="s">
        <v>82</v>
      </c>
      <c r="C451" s="120" t="s">
        <v>154</v>
      </c>
      <c r="D451" s="120" t="s">
        <v>152</v>
      </c>
      <c r="E451" s="120" t="s">
        <v>579</v>
      </c>
      <c r="F451" s="120" t="s">
        <v>202</v>
      </c>
      <c r="G451" s="119">
        <v>51386.2</v>
      </c>
      <c r="H451" s="119">
        <f>G451</f>
        <v>51386.2</v>
      </c>
      <c r="I451" s="119">
        <v>51386.2</v>
      </c>
      <c r="J451" s="119">
        <f>I451</f>
        <v>51386.2</v>
      </c>
      <c r="K451" s="680">
        <f t="shared" si="47"/>
        <v>0</v>
      </c>
      <c r="L451" s="680">
        <f t="shared" si="46"/>
        <v>0</v>
      </c>
    </row>
    <row r="452" spans="1:12" s="64" customFormat="1">
      <c r="A452" s="138" t="s">
        <v>269</v>
      </c>
      <c r="B452" s="120" t="s">
        <v>82</v>
      </c>
      <c r="C452" s="120" t="s">
        <v>154</v>
      </c>
      <c r="D452" s="120" t="s">
        <v>152</v>
      </c>
      <c r="E452" s="120" t="s">
        <v>579</v>
      </c>
      <c r="F452" s="120" t="s">
        <v>270</v>
      </c>
      <c r="G452" s="119">
        <f>30414.8+544.9</f>
        <v>30959.7</v>
      </c>
      <c r="H452" s="119">
        <f>G452</f>
        <v>30959.7</v>
      </c>
      <c r="I452" s="119">
        <v>30414.799999999999</v>
      </c>
      <c r="J452" s="119">
        <f>I452</f>
        <v>30414.799999999999</v>
      </c>
      <c r="K452" s="680">
        <f t="shared" si="47"/>
        <v>544.90000000000146</v>
      </c>
      <c r="L452" s="680">
        <f t="shared" si="46"/>
        <v>544.90000000000146</v>
      </c>
    </row>
    <row r="453" spans="1:12" s="64" customFormat="1" ht="63">
      <c r="A453" s="46" t="s">
        <v>570</v>
      </c>
      <c r="B453" s="120" t="s">
        <v>82</v>
      </c>
      <c r="C453" s="120" t="s">
        <v>154</v>
      </c>
      <c r="D453" s="120" t="s">
        <v>152</v>
      </c>
      <c r="E453" s="120" t="s">
        <v>717</v>
      </c>
      <c r="F453" s="120"/>
      <c r="G453" s="119">
        <f>G454+G455</f>
        <v>6611.4192899999998</v>
      </c>
      <c r="H453" s="119">
        <f>H454+H455</f>
        <v>6611.4192899999998</v>
      </c>
      <c r="I453" s="119">
        <f>I454+I455</f>
        <v>0</v>
      </c>
      <c r="J453" s="119">
        <f>J454+J455</f>
        <v>0</v>
      </c>
      <c r="K453" s="680">
        <f t="shared" si="47"/>
        <v>6611.4192899999998</v>
      </c>
      <c r="L453" s="680">
        <f t="shared" si="46"/>
        <v>6611.4192899999998</v>
      </c>
    </row>
    <row r="454" spans="1:12" s="64" customFormat="1">
      <c r="A454" s="138" t="s">
        <v>205</v>
      </c>
      <c r="B454" s="120" t="s">
        <v>82</v>
      </c>
      <c r="C454" s="120" t="s">
        <v>154</v>
      </c>
      <c r="D454" s="120" t="s">
        <v>152</v>
      </c>
      <c r="E454" s="120" t="s">
        <v>717</v>
      </c>
      <c r="F454" s="120" t="s">
        <v>202</v>
      </c>
      <c r="G454" s="119">
        <v>4544.7</v>
      </c>
      <c r="H454" s="119">
        <f>G454</f>
        <v>4544.7</v>
      </c>
      <c r="I454" s="119"/>
      <c r="J454" s="119">
        <f>I454</f>
        <v>0</v>
      </c>
      <c r="K454" s="680">
        <f t="shared" si="47"/>
        <v>4544.7</v>
      </c>
      <c r="L454" s="680">
        <f t="shared" si="46"/>
        <v>4544.7</v>
      </c>
    </row>
    <row r="455" spans="1:12" s="64" customFormat="1">
      <c r="A455" s="138" t="s">
        <v>269</v>
      </c>
      <c r="B455" s="120" t="s">
        <v>82</v>
      </c>
      <c r="C455" s="120" t="s">
        <v>154</v>
      </c>
      <c r="D455" s="120" t="s">
        <v>152</v>
      </c>
      <c r="E455" s="120" t="s">
        <v>717</v>
      </c>
      <c r="F455" s="120" t="s">
        <v>270</v>
      </c>
      <c r="G455" s="119">
        <v>2066.71929</v>
      </c>
      <c r="H455" s="119">
        <f>G455</f>
        <v>2066.71929</v>
      </c>
      <c r="I455" s="119"/>
      <c r="J455" s="119">
        <f>I455</f>
        <v>0</v>
      </c>
      <c r="K455" s="680">
        <f t="shared" si="47"/>
        <v>2066.71929</v>
      </c>
      <c r="L455" s="680">
        <f t="shared" si="46"/>
        <v>2066.71929</v>
      </c>
    </row>
    <row r="456" spans="1:12" s="64" customFormat="1" ht="47.25">
      <c r="A456" s="48" t="s">
        <v>1101</v>
      </c>
      <c r="B456" s="68" t="s">
        <v>82</v>
      </c>
      <c r="C456" s="68" t="s">
        <v>154</v>
      </c>
      <c r="D456" s="68" t="s">
        <v>152</v>
      </c>
      <c r="E456" s="120" t="s">
        <v>962</v>
      </c>
      <c r="F456" s="68"/>
      <c r="G456" s="119">
        <f>G457+G458</f>
        <v>352</v>
      </c>
      <c r="H456" s="119">
        <f>H457+H458</f>
        <v>352</v>
      </c>
      <c r="I456" s="119">
        <f>I457+I458</f>
        <v>352</v>
      </c>
      <c r="J456" s="119">
        <f>J457+J458</f>
        <v>352</v>
      </c>
      <c r="K456" s="680">
        <f t="shared" si="47"/>
        <v>0</v>
      </c>
      <c r="L456" s="680">
        <f t="shared" si="46"/>
        <v>0</v>
      </c>
    </row>
    <row r="457" spans="1:12" s="64" customFormat="1">
      <c r="A457" s="48" t="s">
        <v>205</v>
      </c>
      <c r="B457" s="68" t="s">
        <v>82</v>
      </c>
      <c r="C457" s="68" t="s">
        <v>154</v>
      </c>
      <c r="D457" s="68" t="s">
        <v>152</v>
      </c>
      <c r="E457" s="120" t="s">
        <v>962</v>
      </c>
      <c r="F457" s="68" t="s">
        <v>202</v>
      </c>
      <c r="G457" s="119">
        <v>140.6</v>
      </c>
      <c r="H457" s="119">
        <f>G457</f>
        <v>140.6</v>
      </c>
      <c r="I457" s="119">
        <v>140.6</v>
      </c>
      <c r="J457" s="119">
        <f>I457</f>
        <v>140.6</v>
      </c>
      <c r="K457" s="680">
        <f t="shared" si="47"/>
        <v>0</v>
      </c>
      <c r="L457" s="680">
        <f t="shared" si="46"/>
        <v>0</v>
      </c>
    </row>
    <row r="458" spans="1:12" s="64" customFormat="1">
      <c r="A458" s="138" t="s">
        <v>269</v>
      </c>
      <c r="B458" s="68" t="s">
        <v>82</v>
      </c>
      <c r="C458" s="68" t="s">
        <v>154</v>
      </c>
      <c r="D458" s="68" t="s">
        <v>152</v>
      </c>
      <c r="E458" s="120" t="s">
        <v>962</v>
      </c>
      <c r="F458" s="68" t="s">
        <v>270</v>
      </c>
      <c r="G458" s="119">
        <v>211.4</v>
      </c>
      <c r="H458" s="119">
        <f>G458</f>
        <v>211.4</v>
      </c>
      <c r="I458" s="119">
        <v>211.4</v>
      </c>
      <c r="J458" s="119">
        <f>I458</f>
        <v>211.4</v>
      </c>
      <c r="K458" s="680">
        <f t="shared" si="47"/>
        <v>0</v>
      </c>
      <c r="L458" s="680">
        <f t="shared" si="46"/>
        <v>0</v>
      </c>
    </row>
    <row r="459" spans="1:12" s="64" customFormat="1" ht="47.25" hidden="1">
      <c r="A459" s="564" t="s">
        <v>1008</v>
      </c>
      <c r="B459" s="155" t="s">
        <v>82</v>
      </c>
      <c r="C459" s="155" t="s">
        <v>154</v>
      </c>
      <c r="D459" s="155" t="s">
        <v>152</v>
      </c>
      <c r="E459" s="158" t="s">
        <v>711</v>
      </c>
      <c r="F459" s="155"/>
      <c r="G459" s="163">
        <f>G460</f>
        <v>0</v>
      </c>
      <c r="H459" s="163">
        <v>0</v>
      </c>
      <c r="I459" s="163">
        <f>I460</f>
        <v>0</v>
      </c>
      <c r="J459" s="163">
        <v>0</v>
      </c>
      <c r="K459" s="680">
        <f t="shared" si="47"/>
        <v>0</v>
      </c>
      <c r="L459" s="680">
        <f t="shared" si="46"/>
        <v>0</v>
      </c>
    </row>
    <row r="460" spans="1:12" s="64" customFormat="1" ht="31.5" hidden="1">
      <c r="A460" s="564" t="s">
        <v>721</v>
      </c>
      <c r="B460" s="155" t="s">
        <v>82</v>
      </c>
      <c r="C460" s="155" t="s">
        <v>154</v>
      </c>
      <c r="D460" s="155" t="s">
        <v>152</v>
      </c>
      <c r="E460" s="158" t="s">
        <v>712</v>
      </c>
      <c r="F460" s="155"/>
      <c r="G460" s="163">
        <f>G462+G463</f>
        <v>0</v>
      </c>
      <c r="H460" s="163">
        <v>0</v>
      </c>
      <c r="I460" s="163">
        <f>I462+I463</f>
        <v>0</v>
      </c>
      <c r="J460" s="163">
        <v>0</v>
      </c>
      <c r="K460" s="680">
        <f t="shared" si="47"/>
        <v>0</v>
      </c>
      <c r="L460" s="680">
        <f t="shared" si="46"/>
        <v>0</v>
      </c>
    </row>
    <row r="461" spans="1:12" s="64" customFormat="1" ht="31.5" hidden="1">
      <c r="A461" s="175" t="s">
        <v>705</v>
      </c>
      <c r="B461" s="172" t="s">
        <v>82</v>
      </c>
      <c r="C461" s="172" t="s">
        <v>154</v>
      </c>
      <c r="D461" s="172" t="s">
        <v>152</v>
      </c>
      <c r="E461" s="172" t="s">
        <v>710</v>
      </c>
      <c r="F461" s="172"/>
      <c r="G461" s="167">
        <f>G462+G463</f>
        <v>0</v>
      </c>
      <c r="H461" s="167">
        <v>0</v>
      </c>
      <c r="I461" s="167">
        <f>I462+I463</f>
        <v>0</v>
      </c>
      <c r="J461" s="167">
        <v>0</v>
      </c>
      <c r="K461" s="680">
        <f t="shared" si="47"/>
        <v>0</v>
      </c>
      <c r="L461" s="680">
        <f t="shared" si="46"/>
        <v>0</v>
      </c>
    </row>
    <row r="462" spans="1:12" s="64" customFormat="1" hidden="1">
      <c r="A462" s="48" t="s">
        <v>378</v>
      </c>
      <c r="B462" s="68" t="s">
        <v>82</v>
      </c>
      <c r="C462" s="68" t="s">
        <v>154</v>
      </c>
      <c r="D462" s="68" t="s">
        <v>152</v>
      </c>
      <c r="E462" s="120" t="s">
        <v>710</v>
      </c>
      <c r="F462" s="68" t="s">
        <v>202</v>
      </c>
      <c r="G462" s="119"/>
      <c r="H462" s="119">
        <v>0</v>
      </c>
      <c r="I462" s="119"/>
      <c r="J462" s="119">
        <v>0</v>
      </c>
      <c r="K462" s="680">
        <f t="shared" si="47"/>
        <v>0</v>
      </c>
      <c r="L462" s="680">
        <f t="shared" si="46"/>
        <v>0</v>
      </c>
    </row>
    <row r="463" spans="1:12" s="64" customFormat="1" hidden="1">
      <c r="A463" s="138" t="s">
        <v>269</v>
      </c>
      <c r="B463" s="68" t="s">
        <v>82</v>
      </c>
      <c r="C463" s="68" t="s">
        <v>154</v>
      </c>
      <c r="D463" s="68" t="s">
        <v>152</v>
      </c>
      <c r="E463" s="120" t="s">
        <v>710</v>
      </c>
      <c r="F463" s="68" t="s">
        <v>270</v>
      </c>
      <c r="G463" s="119"/>
      <c r="H463" s="119">
        <v>0</v>
      </c>
      <c r="I463" s="119"/>
      <c r="J463" s="119">
        <v>0</v>
      </c>
      <c r="K463" s="680">
        <f t="shared" si="47"/>
        <v>0</v>
      </c>
      <c r="L463" s="680">
        <f t="shared" si="46"/>
        <v>0</v>
      </c>
    </row>
    <row r="464" spans="1:12" s="64" customFormat="1" ht="31.5">
      <c r="A464" s="564" t="s">
        <v>969</v>
      </c>
      <c r="B464" s="155" t="s">
        <v>82</v>
      </c>
      <c r="C464" s="155" t="s">
        <v>154</v>
      </c>
      <c r="D464" s="155" t="s">
        <v>152</v>
      </c>
      <c r="E464" s="158" t="s">
        <v>713</v>
      </c>
      <c r="F464" s="155"/>
      <c r="G464" s="163">
        <f>G465</f>
        <v>635.28</v>
      </c>
      <c r="H464" s="163">
        <f>H465</f>
        <v>623</v>
      </c>
      <c r="I464" s="163">
        <f>I465</f>
        <v>635.28</v>
      </c>
      <c r="J464" s="163">
        <f>J465</f>
        <v>623</v>
      </c>
      <c r="K464" s="680">
        <f t="shared" si="47"/>
        <v>0</v>
      </c>
      <c r="L464" s="680">
        <f t="shared" si="46"/>
        <v>0</v>
      </c>
    </row>
    <row r="465" spans="1:12" s="64" customFormat="1" ht="31.5">
      <c r="A465" s="564" t="s">
        <v>720</v>
      </c>
      <c r="B465" s="155" t="s">
        <v>82</v>
      </c>
      <c r="C465" s="155" t="s">
        <v>154</v>
      </c>
      <c r="D465" s="155" t="s">
        <v>152</v>
      </c>
      <c r="E465" s="158" t="s">
        <v>714</v>
      </c>
      <c r="F465" s="155"/>
      <c r="G465" s="163">
        <f>G468+G466</f>
        <v>635.28</v>
      </c>
      <c r="H465" s="163">
        <f>H468+H466</f>
        <v>623</v>
      </c>
      <c r="I465" s="163">
        <f>I468+I466</f>
        <v>635.28</v>
      </c>
      <c r="J465" s="163">
        <f>J468+J466</f>
        <v>623</v>
      </c>
      <c r="K465" s="680">
        <f t="shared" si="47"/>
        <v>0</v>
      </c>
      <c r="L465" s="680">
        <f t="shared" si="46"/>
        <v>0</v>
      </c>
    </row>
    <row r="466" spans="1:12" s="64" customFormat="1" ht="31.5">
      <c r="A466" s="175" t="s">
        <v>797</v>
      </c>
      <c r="B466" s="172" t="s">
        <v>82</v>
      </c>
      <c r="C466" s="172" t="s">
        <v>154</v>
      </c>
      <c r="D466" s="172" t="s">
        <v>152</v>
      </c>
      <c r="E466" s="172" t="s">
        <v>716</v>
      </c>
      <c r="F466" s="172"/>
      <c r="G466" s="167">
        <f>G467</f>
        <v>623</v>
      </c>
      <c r="H466" s="167">
        <f>G466</f>
        <v>623</v>
      </c>
      <c r="I466" s="167">
        <f>I467</f>
        <v>623</v>
      </c>
      <c r="J466" s="167">
        <f>I466</f>
        <v>623</v>
      </c>
      <c r="K466" s="680">
        <f t="shared" si="47"/>
        <v>0</v>
      </c>
      <c r="L466" s="680">
        <f t="shared" si="46"/>
        <v>0</v>
      </c>
    </row>
    <row r="467" spans="1:12" s="64" customFormat="1">
      <c r="A467" s="48" t="s">
        <v>378</v>
      </c>
      <c r="B467" s="172" t="s">
        <v>82</v>
      </c>
      <c r="C467" s="172" t="s">
        <v>154</v>
      </c>
      <c r="D467" s="172" t="s">
        <v>152</v>
      </c>
      <c r="E467" s="172" t="s">
        <v>716</v>
      </c>
      <c r="F467" s="172" t="s">
        <v>202</v>
      </c>
      <c r="G467" s="167">
        <v>623</v>
      </c>
      <c r="H467" s="167">
        <f>G467</f>
        <v>623</v>
      </c>
      <c r="I467" s="167">
        <v>623</v>
      </c>
      <c r="J467" s="167">
        <f>I467</f>
        <v>623</v>
      </c>
      <c r="K467" s="680">
        <f t="shared" si="47"/>
        <v>0</v>
      </c>
      <c r="L467" s="680">
        <f t="shared" si="46"/>
        <v>0</v>
      </c>
    </row>
    <row r="468" spans="1:12" s="64" customFormat="1" ht="63">
      <c r="A468" s="138" t="s">
        <v>498</v>
      </c>
      <c r="B468" s="68" t="s">
        <v>82</v>
      </c>
      <c r="C468" s="68" t="s">
        <v>154</v>
      </c>
      <c r="D468" s="68" t="s">
        <v>152</v>
      </c>
      <c r="E468" s="172" t="s">
        <v>716</v>
      </c>
      <c r="F468" s="731"/>
      <c r="G468" s="119">
        <f>G469</f>
        <v>12.28</v>
      </c>
      <c r="H468" s="119">
        <v>0</v>
      </c>
      <c r="I468" s="119">
        <f>I469</f>
        <v>12.28</v>
      </c>
      <c r="J468" s="119"/>
      <c r="K468" s="680">
        <f t="shared" si="47"/>
        <v>0</v>
      </c>
      <c r="L468" s="680">
        <f t="shared" si="46"/>
        <v>0</v>
      </c>
    </row>
    <row r="469" spans="1:12" s="64" customFormat="1">
      <c r="A469" s="48" t="s">
        <v>378</v>
      </c>
      <c r="B469" s="68" t="s">
        <v>82</v>
      </c>
      <c r="C469" s="68" t="s">
        <v>154</v>
      </c>
      <c r="D469" s="68" t="s">
        <v>152</v>
      </c>
      <c r="E469" s="172" t="s">
        <v>716</v>
      </c>
      <c r="F469" s="172" t="s">
        <v>202</v>
      </c>
      <c r="G469" s="119">
        <v>12.28</v>
      </c>
      <c r="H469" s="119">
        <v>0</v>
      </c>
      <c r="I469" s="119">
        <v>12.28</v>
      </c>
      <c r="J469" s="119"/>
      <c r="K469" s="680">
        <f t="shared" si="47"/>
        <v>0</v>
      </c>
      <c r="L469" s="680">
        <f t="shared" si="46"/>
        <v>0</v>
      </c>
    </row>
    <row r="470" spans="1:12" s="64" customFormat="1" ht="42" hidden="1" customHeight="1">
      <c r="A470" s="161" t="s">
        <v>777</v>
      </c>
      <c r="B470" s="153" t="s">
        <v>82</v>
      </c>
      <c r="C470" s="153" t="s">
        <v>154</v>
      </c>
      <c r="D470" s="153" t="s">
        <v>152</v>
      </c>
      <c r="E470" s="153" t="s">
        <v>783</v>
      </c>
      <c r="F470" s="153"/>
      <c r="G470" s="162">
        <f>G471</f>
        <v>0</v>
      </c>
      <c r="H470" s="162">
        <v>0</v>
      </c>
      <c r="I470" s="162">
        <f>I471</f>
        <v>0</v>
      </c>
      <c r="J470" s="162">
        <v>0</v>
      </c>
      <c r="K470" s="680">
        <f t="shared" si="47"/>
        <v>0</v>
      </c>
      <c r="L470" s="680">
        <f t="shared" si="46"/>
        <v>0</v>
      </c>
    </row>
    <row r="471" spans="1:12" s="64" customFormat="1" ht="26.25" hidden="1">
      <c r="A471" s="462" t="s">
        <v>785</v>
      </c>
      <c r="B471" s="68" t="s">
        <v>82</v>
      </c>
      <c r="C471" s="68" t="s">
        <v>154</v>
      </c>
      <c r="D471" s="68" t="s">
        <v>152</v>
      </c>
      <c r="E471" s="172" t="s">
        <v>784</v>
      </c>
      <c r="F471" s="172"/>
      <c r="G471" s="119">
        <f>G472+G473</f>
        <v>0</v>
      </c>
      <c r="H471" s="119">
        <v>0</v>
      </c>
      <c r="I471" s="119">
        <f>I472+I473</f>
        <v>0</v>
      </c>
      <c r="J471" s="119">
        <v>0</v>
      </c>
      <c r="K471" s="680">
        <f t="shared" si="47"/>
        <v>0</v>
      </c>
      <c r="L471" s="680">
        <f t="shared" si="46"/>
        <v>0</v>
      </c>
    </row>
    <row r="472" spans="1:12" s="64" customFormat="1" hidden="1">
      <c r="A472" s="48" t="s">
        <v>378</v>
      </c>
      <c r="B472" s="68" t="s">
        <v>82</v>
      </c>
      <c r="C472" s="68" t="s">
        <v>154</v>
      </c>
      <c r="D472" s="68" t="s">
        <v>152</v>
      </c>
      <c r="E472" s="172" t="s">
        <v>784</v>
      </c>
      <c r="F472" s="172" t="s">
        <v>202</v>
      </c>
      <c r="G472" s="119"/>
      <c r="H472" s="119">
        <v>0</v>
      </c>
      <c r="I472" s="119"/>
      <c r="J472" s="119">
        <v>0</v>
      </c>
      <c r="K472" s="680">
        <f t="shared" si="47"/>
        <v>0</v>
      </c>
      <c r="L472" s="680">
        <f t="shared" si="46"/>
        <v>0</v>
      </c>
    </row>
    <row r="473" spans="1:12" s="64" customFormat="1" hidden="1">
      <c r="A473" s="138" t="s">
        <v>269</v>
      </c>
      <c r="B473" s="68" t="s">
        <v>82</v>
      </c>
      <c r="C473" s="68" t="s">
        <v>154</v>
      </c>
      <c r="D473" s="68" t="s">
        <v>152</v>
      </c>
      <c r="E473" s="172" t="s">
        <v>784</v>
      </c>
      <c r="F473" s="172" t="s">
        <v>270</v>
      </c>
      <c r="G473" s="119"/>
      <c r="H473" s="119">
        <v>0</v>
      </c>
      <c r="I473" s="119"/>
      <c r="J473" s="119">
        <v>0</v>
      </c>
      <c r="K473" s="680">
        <f t="shared" si="47"/>
        <v>0</v>
      </c>
      <c r="L473" s="680">
        <f t="shared" si="46"/>
        <v>0</v>
      </c>
    </row>
    <row r="474" spans="1:12" s="64" customFormat="1" ht="47.25" hidden="1">
      <c r="A474" s="496" t="s">
        <v>909</v>
      </c>
      <c r="B474" s="153" t="s">
        <v>82</v>
      </c>
      <c r="C474" s="670" t="s">
        <v>154</v>
      </c>
      <c r="D474" s="670" t="s">
        <v>152</v>
      </c>
      <c r="E474" s="671" t="s">
        <v>907</v>
      </c>
      <c r="F474" s="671"/>
      <c r="G474" s="162">
        <f>G475</f>
        <v>0</v>
      </c>
      <c r="H474" s="119"/>
      <c r="I474" s="162">
        <f>I475</f>
        <v>0</v>
      </c>
      <c r="J474" s="119"/>
      <c r="K474" s="680">
        <f t="shared" ref="K474:K541" si="49">G474-I474</f>
        <v>0</v>
      </c>
      <c r="L474" s="680">
        <f t="shared" ref="L474:L541" si="50">H474-J474</f>
        <v>0</v>
      </c>
    </row>
    <row r="475" spans="1:12" s="64" customFormat="1" ht="63" hidden="1">
      <c r="A475" s="138" t="s">
        <v>910</v>
      </c>
      <c r="B475" s="120" t="s">
        <v>82</v>
      </c>
      <c r="C475" s="477" t="s">
        <v>154</v>
      </c>
      <c r="D475" s="477" t="s">
        <v>152</v>
      </c>
      <c r="E475" s="477" t="s">
        <v>907</v>
      </c>
      <c r="F475" s="477"/>
      <c r="G475" s="119">
        <f>G476</f>
        <v>0</v>
      </c>
      <c r="H475" s="119"/>
      <c r="I475" s="119">
        <f>I476</f>
        <v>0</v>
      </c>
      <c r="J475" s="119"/>
      <c r="K475" s="680">
        <f t="shared" si="49"/>
        <v>0</v>
      </c>
      <c r="L475" s="680">
        <f t="shared" si="50"/>
        <v>0</v>
      </c>
    </row>
    <row r="476" spans="1:12" s="64" customFormat="1" ht="39" hidden="1">
      <c r="A476" s="699" t="s">
        <v>994</v>
      </c>
      <c r="B476" s="120" t="s">
        <v>82</v>
      </c>
      <c r="C476" s="477" t="s">
        <v>154</v>
      </c>
      <c r="D476" s="477" t="s">
        <v>152</v>
      </c>
      <c r="E476" s="477" t="s">
        <v>908</v>
      </c>
      <c r="F476" s="477"/>
      <c r="G476" s="119">
        <f>G477</f>
        <v>0</v>
      </c>
      <c r="H476" s="119"/>
      <c r="I476" s="119">
        <f>I477</f>
        <v>0</v>
      </c>
      <c r="J476" s="119"/>
      <c r="K476" s="680">
        <f t="shared" si="49"/>
        <v>0</v>
      </c>
      <c r="L476" s="680">
        <f t="shared" si="50"/>
        <v>0</v>
      </c>
    </row>
    <row r="477" spans="1:12" s="64" customFormat="1" hidden="1">
      <c r="A477" s="48" t="s">
        <v>378</v>
      </c>
      <c r="B477" s="120" t="s">
        <v>82</v>
      </c>
      <c r="C477" s="477" t="s">
        <v>154</v>
      </c>
      <c r="D477" s="477" t="s">
        <v>152</v>
      </c>
      <c r="E477" s="477" t="s">
        <v>908</v>
      </c>
      <c r="F477" s="477" t="s">
        <v>202</v>
      </c>
      <c r="G477" s="119"/>
      <c r="H477" s="119"/>
      <c r="I477" s="119"/>
      <c r="J477" s="119"/>
      <c r="K477" s="680">
        <f t="shared" si="49"/>
        <v>0</v>
      </c>
      <c r="L477" s="680">
        <f t="shared" si="50"/>
        <v>0</v>
      </c>
    </row>
    <row r="478" spans="1:12" ht="24" customHeight="1">
      <c r="A478" s="51" t="s">
        <v>199</v>
      </c>
      <c r="B478" s="75" t="s">
        <v>82</v>
      </c>
      <c r="C478" s="78" t="s">
        <v>154</v>
      </c>
      <c r="D478" s="78" t="s">
        <v>153</v>
      </c>
      <c r="E478" s="78"/>
      <c r="F478" s="78"/>
      <c r="G478" s="79">
        <f>G479+G541+G544+G551+G547</f>
        <v>647209.90617000009</v>
      </c>
      <c r="H478" s="79">
        <f>H479+H541+H544+H551</f>
        <v>554245.48436999996</v>
      </c>
      <c r="I478" s="79">
        <f>I479+I541+I544+I551+I547</f>
        <v>580252.17372000008</v>
      </c>
      <c r="J478" s="79">
        <f>J479+J541+J544+J551</f>
        <v>499167.69999999995</v>
      </c>
      <c r="K478" s="680">
        <f t="shared" si="49"/>
        <v>66957.73245000001</v>
      </c>
      <c r="L478" s="680">
        <f t="shared" si="50"/>
        <v>55077.784370000008</v>
      </c>
    </row>
    <row r="479" spans="1:12" ht="47.25">
      <c r="A479" s="516" t="s">
        <v>948</v>
      </c>
      <c r="B479" s="515" t="s">
        <v>82</v>
      </c>
      <c r="C479" s="515" t="s">
        <v>154</v>
      </c>
      <c r="D479" s="515" t="s">
        <v>153</v>
      </c>
      <c r="E479" s="515" t="s">
        <v>581</v>
      </c>
      <c r="F479" s="515"/>
      <c r="G479" s="377">
        <f>G480+G525+G533</f>
        <v>645969.77806000004</v>
      </c>
      <c r="H479" s="377">
        <f>H480+H525+H533</f>
        <v>554245.48436999996</v>
      </c>
      <c r="I479" s="377">
        <f>I480+I525+I533</f>
        <v>579892.75161000004</v>
      </c>
      <c r="J479" s="377">
        <f>J480+J525+J533</f>
        <v>499167.69999999995</v>
      </c>
      <c r="K479" s="680">
        <f t="shared" si="49"/>
        <v>66077.026450000005</v>
      </c>
      <c r="L479" s="680">
        <f t="shared" si="50"/>
        <v>55077.784370000008</v>
      </c>
    </row>
    <row r="480" spans="1:12" ht="31.5">
      <c r="A480" s="147" t="s">
        <v>349</v>
      </c>
      <c r="B480" s="149" t="s">
        <v>82</v>
      </c>
      <c r="C480" s="149" t="s">
        <v>154</v>
      </c>
      <c r="D480" s="149" t="s">
        <v>153</v>
      </c>
      <c r="E480" s="149" t="s">
        <v>582</v>
      </c>
      <c r="F480" s="149"/>
      <c r="G480" s="150">
        <f>G481</f>
        <v>641784.01806000003</v>
      </c>
      <c r="H480" s="150">
        <f>H481</f>
        <v>550101.58436999994</v>
      </c>
      <c r="I480" s="150">
        <f>I481</f>
        <v>579892.75161000004</v>
      </c>
      <c r="J480" s="150">
        <f>J481</f>
        <v>499167.69999999995</v>
      </c>
      <c r="K480" s="680">
        <f t="shared" si="49"/>
        <v>61891.266449999996</v>
      </c>
      <c r="L480" s="680">
        <f t="shared" si="50"/>
        <v>50933.884369999985</v>
      </c>
    </row>
    <row r="481" spans="1:12" ht="52.5" customHeight="1">
      <c r="A481" s="147" t="s">
        <v>580</v>
      </c>
      <c r="B481" s="149" t="s">
        <v>82</v>
      </c>
      <c r="C481" s="149" t="s">
        <v>154</v>
      </c>
      <c r="D481" s="149" t="s">
        <v>153</v>
      </c>
      <c r="E481" s="149" t="s">
        <v>583</v>
      </c>
      <c r="F481" s="149"/>
      <c r="G481" s="150">
        <f>G482+G483+G485+G487+G489+G491+G493+G495+G497+G499+G501+G503+G505+G507+G513+G515+G517+G519+G521+G523+G509+G511</f>
        <v>641784.01806000003</v>
      </c>
      <c r="H481" s="150">
        <f>H482+H483+H485+H487+H489+H491+H493+H495+H497+H499+H501+H503+H505+H507+H513+H515+H517+H519+H521+H509</f>
        <v>550101.58436999994</v>
      </c>
      <c r="I481" s="150">
        <f>I482+I483+I485+I487+I489+I491+I493+I495+I497+I499+I501+I503+I505+I507+I513+I515+I517+I519+I521+I523+I509+I511</f>
        <v>579892.75161000004</v>
      </c>
      <c r="J481" s="150">
        <f>J482+J483+J485+J487+J489+J491+J493+J495+J497+J499+J501+J503+J505+J507+J513+J515+J517+J519+J521+J509</f>
        <v>499167.69999999995</v>
      </c>
      <c r="K481" s="680">
        <f t="shared" si="49"/>
        <v>61891.266449999996</v>
      </c>
      <c r="L481" s="680">
        <f t="shared" si="50"/>
        <v>50933.884369999985</v>
      </c>
    </row>
    <row r="482" spans="1:12" ht="47.25">
      <c r="A482" s="48" t="s">
        <v>204</v>
      </c>
      <c r="B482" s="68" t="s">
        <v>82</v>
      </c>
      <c r="C482" s="68" t="s">
        <v>154</v>
      </c>
      <c r="D482" s="68" t="s">
        <v>153</v>
      </c>
      <c r="E482" s="120" t="s">
        <v>584</v>
      </c>
      <c r="F482" s="68" t="s">
        <v>319</v>
      </c>
      <c r="G482" s="167">
        <f>70123-2010.91762-545.3-47.75+2136.04+3789.08648+1227.741+800-20-12.99507</f>
        <v>75438.904789999986</v>
      </c>
      <c r="H482" s="381">
        <v>0</v>
      </c>
      <c r="I482" s="167">
        <f>70123-2010.91762-545.3-47.75</f>
        <v>67519.032380000004</v>
      </c>
      <c r="J482" s="381">
        <v>0</v>
      </c>
      <c r="K482" s="680">
        <f t="shared" si="49"/>
        <v>7919.8724099999818</v>
      </c>
      <c r="L482" s="680">
        <f t="shared" si="50"/>
        <v>0</v>
      </c>
    </row>
    <row r="483" spans="1:12" ht="63">
      <c r="A483" s="46" t="s">
        <v>570</v>
      </c>
      <c r="B483" s="68" t="s">
        <v>82</v>
      </c>
      <c r="C483" s="68" t="s">
        <v>154</v>
      </c>
      <c r="D483" s="68" t="s">
        <v>153</v>
      </c>
      <c r="E483" s="120" t="s">
        <v>703</v>
      </c>
      <c r="F483" s="68"/>
      <c r="G483" s="167">
        <f>G484</f>
        <v>46517.084369999997</v>
      </c>
      <c r="H483" s="381">
        <f>H484</f>
        <v>46517.084369999997</v>
      </c>
      <c r="I483" s="167">
        <f>I484</f>
        <v>0</v>
      </c>
      <c r="J483" s="381">
        <f>J484</f>
        <v>0</v>
      </c>
      <c r="K483" s="680">
        <f t="shared" si="49"/>
        <v>46517.084369999997</v>
      </c>
      <c r="L483" s="680">
        <f t="shared" si="50"/>
        <v>46517.084369999997</v>
      </c>
    </row>
    <row r="484" spans="1:12">
      <c r="A484" s="48" t="s">
        <v>205</v>
      </c>
      <c r="B484" s="68" t="s">
        <v>82</v>
      </c>
      <c r="C484" s="68" t="s">
        <v>154</v>
      </c>
      <c r="D484" s="68" t="s">
        <v>153</v>
      </c>
      <c r="E484" s="120" t="s">
        <v>703</v>
      </c>
      <c r="F484" s="68" t="s">
        <v>202</v>
      </c>
      <c r="G484" s="167">
        <f>30596.264+15920.82037</f>
        <v>46517.084369999997</v>
      </c>
      <c r="H484" s="381">
        <f>G484</f>
        <v>46517.084369999997</v>
      </c>
      <c r="I484" s="167"/>
      <c r="J484" s="381">
        <f>I484</f>
        <v>0</v>
      </c>
      <c r="K484" s="680">
        <f t="shared" si="49"/>
        <v>46517.084369999997</v>
      </c>
      <c r="L484" s="680">
        <f t="shared" si="50"/>
        <v>46517.084369999997</v>
      </c>
    </row>
    <row r="485" spans="1:12" ht="78.75">
      <c r="A485" s="46" t="s">
        <v>571</v>
      </c>
      <c r="B485" s="68" t="s">
        <v>82</v>
      </c>
      <c r="C485" s="68" t="s">
        <v>154</v>
      </c>
      <c r="D485" s="68" t="s">
        <v>153</v>
      </c>
      <c r="E485" s="120" t="s">
        <v>703</v>
      </c>
      <c r="F485" s="68"/>
      <c r="G485" s="167">
        <f>G486</f>
        <v>949.3280000000002</v>
      </c>
      <c r="H485" s="381">
        <v>0</v>
      </c>
      <c r="I485" s="167">
        <f>I486</f>
        <v>0</v>
      </c>
      <c r="J485" s="381">
        <v>0</v>
      </c>
      <c r="K485" s="680">
        <f t="shared" si="49"/>
        <v>949.3280000000002</v>
      </c>
      <c r="L485" s="680">
        <f t="shared" si="50"/>
        <v>0</v>
      </c>
    </row>
    <row r="486" spans="1:12">
      <c r="A486" s="48" t="s">
        <v>205</v>
      </c>
      <c r="B486" s="68" t="s">
        <v>82</v>
      </c>
      <c r="C486" s="68" t="s">
        <v>154</v>
      </c>
      <c r="D486" s="68" t="s">
        <v>153</v>
      </c>
      <c r="E486" s="120" t="s">
        <v>703</v>
      </c>
      <c r="F486" s="68" t="s">
        <v>202</v>
      </c>
      <c r="G486" s="167">
        <f>2248.608-1299.28</f>
        <v>949.3280000000002</v>
      </c>
      <c r="H486" s="381">
        <v>0</v>
      </c>
      <c r="I486" s="167"/>
      <c r="J486" s="381">
        <v>0</v>
      </c>
      <c r="K486" s="680">
        <f t="shared" si="49"/>
        <v>949.3280000000002</v>
      </c>
      <c r="L486" s="680">
        <f t="shared" si="50"/>
        <v>0</v>
      </c>
    </row>
    <row r="487" spans="1:12" s="63" customFormat="1" ht="31.5">
      <c r="A487" s="49" t="s">
        <v>275</v>
      </c>
      <c r="B487" s="67" t="s">
        <v>82</v>
      </c>
      <c r="C487" s="67" t="s">
        <v>154</v>
      </c>
      <c r="D487" s="67" t="s">
        <v>153</v>
      </c>
      <c r="E487" s="68" t="s">
        <v>585</v>
      </c>
      <c r="F487" s="67"/>
      <c r="G487" s="169">
        <f>G488</f>
        <v>7511.1</v>
      </c>
      <c r="H487" s="169">
        <f>H488</f>
        <v>7511.1</v>
      </c>
      <c r="I487" s="169">
        <f>I488</f>
        <v>7511.1</v>
      </c>
      <c r="J487" s="169">
        <f>J488</f>
        <v>7511.1</v>
      </c>
      <c r="K487" s="680">
        <f t="shared" si="49"/>
        <v>0</v>
      </c>
      <c r="L487" s="680">
        <f t="shared" si="50"/>
        <v>0</v>
      </c>
    </row>
    <row r="488" spans="1:12">
      <c r="A488" s="48" t="s">
        <v>205</v>
      </c>
      <c r="B488" s="68" t="s">
        <v>82</v>
      </c>
      <c r="C488" s="68" t="s">
        <v>154</v>
      </c>
      <c r="D488" s="68" t="s">
        <v>153</v>
      </c>
      <c r="E488" s="68" t="s">
        <v>585</v>
      </c>
      <c r="F488" s="68" t="s">
        <v>202</v>
      </c>
      <c r="G488" s="167">
        <v>7511.1</v>
      </c>
      <c r="H488" s="381">
        <f>G488</f>
        <v>7511.1</v>
      </c>
      <c r="I488" s="167">
        <v>7511.1</v>
      </c>
      <c r="J488" s="381">
        <f>I488</f>
        <v>7511.1</v>
      </c>
      <c r="K488" s="680">
        <f t="shared" si="49"/>
        <v>0</v>
      </c>
      <c r="L488" s="680">
        <f t="shared" si="50"/>
        <v>0</v>
      </c>
    </row>
    <row r="489" spans="1:12" s="63" customFormat="1" ht="78.75">
      <c r="A489" s="49" t="s">
        <v>500</v>
      </c>
      <c r="B489" s="67" t="s">
        <v>82</v>
      </c>
      <c r="C489" s="67" t="s">
        <v>154</v>
      </c>
      <c r="D489" s="67" t="s">
        <v>153</v>
      </c>
      <c r="E489" s="67" t="s">
        <v>586</v>
      </c>
      <c r="F489" s="67"/>
      <c r="G489" s="169">
        <f>G490</f>
        <v>292514.5</v>
      </c>
      <c r="H489" s="736">
        <f>H490</f>
        <v>292514.5</v>
      </c>
      <c r="I489" s="169">
        <f>I490</f>
        <v>288955.40000000002</v>
      </c>
      <c r="J489" s="736">
        <f>J490</f>
        <v>288955.40000000002</v>
      </c>
      <c r="K489" s="680">
        <f t="shared" si="49"/>
        <v>3559.0999999999767</v>
      </c>
      <c r="L489" s="680">
        <f t="shared" si="50"/>
        <v>3559.0999999999767</v>
      </c>
    </row>
    <row r="490" spans="1:12">
      <c r="A490" s="48" t="s">
        <v>205</v>
      </c>
      <c r="B490" s="68" t="s">
        <v>82</v>
      </c>
      <c r="C490" s="68" t="s">
        <v>154</v>
      </c>
      <c r="D490" s="68" t="s">
        <v>153</v>
      </c>
      <c r="E490" s="67" t="s">
        <v>586</v>
      </c>
      <c r="F490" s="68" t="s">
        <v>202</v>
      </c>
      <c r="G490" s="167">
        <f>288955.4+3559.1</f>
        <v>292514.5</v>
      </c>
      <c r="H490" s="381">
        <f>G490</f>
        <v>292514.5</v>
      </c>
      <c r="I490" s="167">
        <v>288955.40000000002</v>
      </c>
      <c r="J490" s="381">
        <f>I490</f>
        <v>288955.40000000002</v>
      </c>
      <c r="K490" s="680">
        <f t="shared" si="49"/>
        <v>3559.0999999999767</v>
      </c>
      <c r="L490" s="680">
        <f t="shared" si="50"/>
        <v>3559.0999999999767</v>
      </c>
    </row>
    <row r="491" spans="1:12">
      <c r="A491" s="49" t="s">
        <v>179</v>
      </c>
      <c r="B491" s="68" t="s">
        <v>82</v>
      </c>
      <c r="C491" s="67" t="s">
        <v>154</v>
      </c>
      <c r="D491" s="67" t="s">
        <v>153</v>
      </c>
      <c r="E491" s="68" t="s">
        <v>587</v>
      </c>
      <c r="F491" s="67"/>
      <c r="G491" s="169">
        <f>G492</f>
        <v>5806.1</v>
      </c>
      <c r="H491" s="169">
        <f>H492</f>
        <v>5806.1</v>
      </c>
      <c r="I491" s="169">
        <f>I492</f>
        <v>5806.1</v>
      </c>
      <c r="J491" s="169">
        <f>J492</f>
        <v>5806.1</v>
      </c>
      <c r="K491" s="680">
        <f t="shared" si="49"/>
        <v>0</v>
      </c>
      <c r="L491" s="680">
        <f t="shared" si="50"/>
        <v>0</v>
      </c>
    </row>
    <row r="492" spans="1:12" s="63" customFormat="1" ht="26.25" customHeight="1">
      <c r="A492" s="48" t="s">
        <v>205</v>
      </c>
      <c r="B492" s="68" t="s">
        <v>82</v>
      </c>
      <c r="C492" s="68" t="s">
        <v>154</v>
      </c>
      <c r="D492" s="68" t="s">
        <v>153</v>
      </c>
      <c r="E492" s="68" t="s">
        <v>587</v>
      </c>
      <c r="F492" s="68" t="s">
        <v>202</v>
      </c>
      <c r="G492" s="167">
        <v>5806.1</v>
      </c>
      <c r="H492" s="167">
        <f>G492</f>
        <v>5806.1</v>
      </c>
      <c r="I492" s="167">
        <v>5806.1</v>
      </c>
      <c r="J492" s="167">
        <f>I492</f>
        <v>5806.1</v>
      </c>
      <c r="K492" s="680">
        <f t="shared" si="49"/>
        <v>0</v>
      </c>
      <c r="L492" s="680">
        <f t="shared" si="50"/>
        <v>0</v>
      </c>
    </row>
    <row r="493" spans="1:12" s="63" customFormat="1" ht="57" hidden="1" customHeight="1">
      <c r="A493" s="48" t="s">
        <v>551</v>
      </c>
      <c r="B493" s="68" t="s">
        <v>82</v>
      </c>
      <c r="C493" s="68" t="s">
        <v>154</v>
      </c>
      <c r="D493" s="68" t="s">
        <v>153</v>
      </c>
      <c r="E493" s="68" t="s">
        <v>742</v>
      </c>
      <c r="F493" s="67"/>
      <c r="G493" s="167">
        <f>G494</f>
        <v>0</v>
      </c>
      <c r="H493" s="167">
        <f>H494</f>
        <v>0</v>
      </c>
      <c r="I493" s="167">
        <f>I494</f>
        <v>0</v>
      </c>
      <c r="J493" s="167">
        <f>J494</f>
        <v>0</v>
      </c>
      <c r="K493" s="680">
        <f t="shared" si="49"/>
        <v>0</v>
      </c>
      <c r="L493" s="680">
        <f t="shared" si="50"/>
        <v>0</v>
      </c>
    </row>
    <row r="494" spans="1:12" s="63" customFormat="1" hidden="1">
      <c r="A494" s="48" t="s">
        <v>205</v>
      </c>
      <c r="B494" s="68" t="s">
        <v>82</v>
      </c>
      <c r="C494" s="68" t="s">
        <v>154</v>
      </c>
      <c r="D494" s="68" t="s">
        <v>153</v>
      </c>
      <c r="E494" s="68" t="s">
        <v>742</v>
      </c>
      <c r="F494" s="68" t="s">
        <v>202</v>
      </c>
      <c r="G494" s="167"/>
      <c r="H494" s="167">
        <f>G494</f>
        <v>0</v>
      </c>
      <c r="I494" s="167"/>
      <c r="J494" s="167">
        <f>I494</f>
        <v>0</v>
      </c>
      <c r="K494" s="680">
        <f t="shared" si="49"/>
        <v>0</v>
      </c>
      <c r="L494" s="680">
        <f t="shared" si="50"/>
        <v>0</v>
      </c>
    </row>
    <row r="495" spans="1:12" s="63" customFormat="1" ht="47.25" hidden="1">
      <c r="A495" s="48" t="s">
        <v>551</v>
      </c>
      <c r="B495" s="68" t="s">
        <v>82</v>
      </c>
      <c r="C495" s="68" t="s">
        <v>154</v>
      </c>
      <c r="D495" s="68" t="s">
        <v>153</v>
      </c>
      <c r="E495" s="68" t="s">
        <v>742</v>
      </c>
      <c r="F495" s="67"/>
      <c r="G495" s="167">
        <f>G496</f>
        <v>0</v>
      </c>
      <c r="H495" s="167"/>
      <c r="I495" s="167">
        <f>I496</f>
        <v>0</v>
      </c>
      <c r="J495" s="167"/>
      <c r="K495" s="680">
        <f t="shared" si="49"/>
        <v>0</v>
      </c>
      <c r="L495" s="680">
        <f t="shared" si="50"/>
        <v>0</v>
      </c>
    </row>
    <row r="496" spans="1:12" s="63" customFormat="1" hidden="1">
      <c r="A496" s="48" t="s">
        <v>205</v>
      </c>
      <c r="B496" s="68" t="s">
        <v>82</v>
      </c>
      <c r="C496" s="68" t="s">
        <v>154</v>
      </c>
      <c r="D496" s="68" t="s">
        <v>153</v>
      </c>
      <c r="E496" s="68" t="s">
        <v>742</v>
      </c>
      <c r="F496" s="68" t="s">
        <v>202</v>
      </c>
      <c r="G496" s="167"/>
      <c r="H496" s="167"/>
      <c r="I496" s="167"/>
      <c r="J496" s="167"/>
      <c r="K496" s="680">
        <f t="shared" si="49"/>
        <v>0</v>
      </c>
      <c r="L496" s="680">
        <f t="shared" si="50"/>
        <v>0</v>
      </c>
    </row>
    <row r="497" spans="1:12" ht="48.75" customHeight="1">
      <c r="A497" s="48" t="s">
        <v>552</v>
      </c>
      <c r="B497" s="120" t="s">
        <v>82</v>
      </c>
      <c r="C497" s="129" t="s">
        <v>154</v>
      </c>
      <c r="D497" s="129" t="s">
        <v>153</v>
      </c>
      <c r="E497" s="120" t="s">
        <v>588</v>
      </c>
      <c r="F497" s="129"/>
      <c r="G497" s="169">
        <f>G498</f>
        <v>12483.4</v>
      </c>
      <c r="H497" s="169">
        <f>H498</f>
        <v>12483.4</v>
      </c>
      <c r="I497" s="169">
        <f>I498</f>
        <v>11241</v>
      </c>
      <c r="J497" s="169">
        <f>J498</f>
        <v>11241</v>
      </c>
      <c r="K497" s="680">
        <f t="shared" si="49"/>
        <v>1242.3999999999996</v>
      </c>
      <c r="L497" s="680">
        <f t="shared" si="50"/>
        <v>1242.3999999999996</v>
      </c>
    </row>
    <row r="498" spans="1:12">
      <c r="A498" s="48" t="s">
        <v>205</v>
      </c>
      <c r="B498" s="68" t="s">
        <v>82</v>
      </c>
      <c r="C498" s="68" t="s">
        <v>154</v>
      </c>
      <c r="D498" s="68" t="s">
        <v>153</v>
      </c>
      <c r="E498" s="120" t="s">
        <v>588</v>
      </c>
      <c r="F498" s="68" t="s">
        <v>202</v>
      </c>
      <c r="G498" s="167">
        <f>11241+1242.4</f>
        <v>12483.4</v>
      </c>
      <c r="H498" s="381">
        <f>G498</f>
        <v>12483.4</v>
      </c>
      <c r="I498" s="167">
        <v>11241</v>
      </c>
      <c r="J498" s="381">
        <f>I498</f>
        <v>11241</v>
      </c>
      <c r="K498" s="680">
        <f t="shared" si="49"/>
        <v>1242.3999999999996</v>
      </c>
      <c r="L498" s="680">
        <f t="shared" si="50"/>
        <v>1242.3999999999996</v>
      </c>
    </row>
    <row r="499" spans="1:12" ht="63">
      <c r="A499" s="48" t="s">
        <v>553</v>
      </c>
      <c r="B499" s="68" t="s">
        <v>82</v>
      </c>
      <c r="C499" s="68" t="s">
        <v>154</v>
      </c>
      <c r="D499" s="68" t="s">
        <v>153</v>
      </c>
      <c r="E499" s="120" t="s">
        <v>588</v>
      </c>
      <c r="F499" s="68"/>
      <c r="G499" s="167">
        <f>G500</f>
        <v>12483.4</v>
      </c>
      <c r="H499" s="381">
        <f>H500</f>
        <v>0</v>
      </c>
      <c r="I499" s="167">
        <f>I500</f>
        <v>11241</v>
      </c>
      <c r="J499" s="381">
        <f>J500</f>
        <v>0</v>
      </c>
      <c r="K499" s="680">
        <f t="shared" si="49"/>
        <v>1242.3999999999996</v>
      </c>
      <c r="L499" s="680">
        <f t="shared" si="50"/>
        <v>0</v>
      </c>
    </row>
    <row r="500" spans="1:12">
      <c r="A500" s="48" t="s">
        <v>205</v>
      </c>
      <c r="B500" s="68" t="s">
        <v>82</v>
      </c>
      <c r="C500" s="68" t="s">
        <v>154</v>
      </c>
      <c r="D500" s="68" t="s">
        <v>153</v>
      </c>
      <c r="E500" s="120" t="s">
        <v>588</v>
      </c>
      <c r="F500" s="68" t="s">
        <v>202</v>
      </c>
      <c r="G500" s="167">
        <v>12483.4</v>
      </c>
      <c r="H500" s="381">
        <v>0</v>
      </c>
      <c r="I500" s="167">
        <v>11241</v>
      </c>
      <c r="J500" s="381">
        <v>0</v>
      </c>
      <c r="K500" s="680">
        <f t="shared" si="49"/>
        <v>1242.3999999999996</v>
      </c>
      <c r="L500" s="680">
        <f t="shared" si="50"/>
        <v>0</v>
      </c>
    </row>
    <row r="501" spans="1:12" ht="47.25">
      <c r="A501" s="48" t="s">
        <v>522</v>
      </c>
      <c r="B501" s="129" t="s">
        <v>82</v>
      </c>
      <c r="C501" s="129" t="s">
        <v>154</v>
      </c>
      <c r="D501" s="129" t="s">
        <v>153</v>
      </c>
      <c r="E501" s="68" t="s">
        <v>590</v>
      </c>
      <c r="F501" s="129"/>
      <c r="G501" s="167">
        <f>G502</f>
        <v>122321.3</v>
      </c>
      <c r="H501" s="381">
        <f>H502</f>
        <v>122321.3</v>
      </c>
      <c r="I501" s="167">
        <f>I502</f>
        <v>122321.3</v>
      </c>
      <c r="J501" s="381">
        <f>J502</f>
        <v>122321.3</v>
      </c>
      <c r="K501" s="680">
        <f t="shared" si="49"/>
        <v>0</v>
      </c>
      <c r="L501" s="680">
        <f t="shared" si="50"/>
        <v>0</v>
      </c>
    </row>
    <row r="502" spans="1:12">
      <c r="A502" s="48" t="s">
        <v>378</v>
      </c>
      <c r="B502" s="120" t="s">
        <v>82</v>
      </c>
      <c r="C502" s="120" t="s">
        <v>154</v>
      </c>
      <c r="D502" s="120" t="s">
        <v>153</v>
      </c>
      <c r="E502" s="68" t="s">
        <v>590</v>
      </c>
      <c r="F502" s="129" t="s">
        <v>202</v>
      </c>
      <c r="G502" s="167">
        <v>122321.3</v>
      </c>
      <c r="H502" s="381">
        <f>G502</f>
        <v>122321.3</v>
      </c>
      <c r="I502" s="167">
        <v>122321.3</v>
      </c>
      <c r="J502" s="381">
        <f>I502</f>
        <v>122321.3</v>
      </c>
      <c r="K502" s="680">
        <f t="shared" si="49"/>
        <v>0</v>
      </c>
      <c r="L502" s="680">
        <f t="shared" si="50"/>
        <v>0</v>
      </c>
    </row>
    <row r="503" spans="1:12" ht="63">
      <c r="A503" s="48" t="s">
        <v>527</v>
      </c>
      <c r="B503" s="129" t="s">
        <v>82</v>
      </c>
      <c r="C503" s="129" t="s">
        <v>154</v>
      </c>
      <c r="D503" s="129" t="s">
        <v>153</v>
      </c>
      <c r="E503" s="68" t="s">
        <v>589</v>
      </c>
      <c r="F503" s="129"/>
      <c r="G503" s="167">
        <f>G504</f>
        <v>2496.3530000000001</v>
      </c>
      <c r="H503" s="381">
        <f>H504</f>
        <v>0</v>
      </c>
      <c r="I503" s="167">
        <f>I504</f>
        <v>1679.5</v>
      </c>
      <c r="J503" s="381">
        <f>J504</f>
        <v>0</v>
      </c>
      <c r="K503" s="680">
        <f t="shared" si="49"/>
        <v>816.85300000000007</v>
      </c>
      <c r="L503" s="680">
        <f t="shared" si="50"/>
        <v>0</v>
      </c>
    </row>
    <row r="504" spans="1:12">
      <c r="A504" s="48" t="s">
        <v>378</v>
      </c>
      <c r="B504" s="120" t="s">
        <v>82</v>
      </c>
      <c r="C504" s="120" t="s">
        <v>154</v>
      </c>
      <c r="D504" s="120" t="s">
        <v>153</v>
      </c>
      <c r="E504" s="68" t="s">
        <v>589</v>
      </c>
      <c r="F504" s="120" t="s">
        <v>202</v>
      </c>
      <c r="G504" s="167">
        <v>2496.3530000000001</v>
      </c>
      <c r="H504" s="381">
        <v>0</v>
      </c>
      <c r="I504" s="167">
        <v>1679.5</v>
      </c>
      <c r="J504" s="381">
        <v>0</v>
      </c>
      <c r="K504" s="680">
        <f t="shared" si="49"/>
        <v>816.85300000000007</v>
      </c>
      <c r="L504" s="680">
        <f t="shared" si="50"/>
        <v>0</v>
      </c>
    </row>
    <row r="505" spans="1:12" ht="94.5">
      <c r="A505" s="48" t="s">
        <v>733</v>
      </c>
      <c r="B505" s="120" t="s">
        <v>82</v>
      </c>
      <c r="C505" s="120" t="s">
        <v>154</v>
      </c>
      <c r="D505" s="120" t="s">
        <v>153</v>
      </c>
      <c r="E505" s="68" t="s">
        <v>734</v>
      </c>
      <c r="F505" s="120"/>
      <c r="G505" s="167">
        <f>G506</f>
        <v>1652.6999999999998</v>
      </c>
      <c r="H505" s="381">
        <f>H506</f>
        <v>1652.6999999999998</v>
      </c>
      <c r="I505" s="167">
        <f>I506</f>
        <v>1342.8</v>
      </c>
      <c r="J505" s="381">
        <f>J506</f>
        <v>1342.8</v>
      </c>
      <c r="K505" s="680">
        <f t="shared" si="49"/>
        <v>309.89999999999986</v>
      </c>
      <c r="L505" s="680">
        <f t="shared" si="50"/>
        <v>309.89999999999986</v>
      </c>
    </row>
    <row r="506" spans="1:12">
      <c r="A506" s="48" t="s">
        <v>378</v>
      </c>
      <c r="B506" s="120" t="s">
        <v>82</v>
      </c>
      <c r="C506" s="120" t="s">
        <v>154</v>
      </c>
      <c r="D506" s="120" t="s">
        <v>153</v>
      </c>
      <c r="E506" s="68" t="s">
        <v>734</v>
      </c>
      <c r="F506" s="120" t="s">
        <v>202</v>
      </c>
      <c r="G506" s="167">
        <f>1342.8+309.9</f>
        <v>1652.6999999999998</v>
      </c>
      <c r="H506" s="381">
        <f>G506</f>
        <v>1652.6999999999998</v>
      </c>
      <c r="I506" s="167">
        <v>1342.8</v>
      </c>
      <c r="J506" s="381">
        <f>I506</f>
        <v>1342.8</v>
      </c>
      <c r="K506" s="680">
        <f t="shared" si="49"/>
        <v>309.89999999999986</v>
      </c>
      <c r="L506" s="680">
        <f t="shared" si="50"/>
        <v>309.89999999999986</v>
      </c>
    </row>
    <row r="507" spans="1:12" ht="110.25">
      <c r="A507" s="48" t="s">
        <v>767</v>
      </c>
      <c r="B507" s="120" t="s">
        <v>82</v>
      </c>
      <c r="C507" s="120" t="s">
        <v>154</v>
      </c>
      <c r="D507" s="120" t="s">
        <v>153</v>
      </c>
      <c r="E507" s="68" t="s">
        <v>734</v>
      </c>
      <c r="F507" s="120"/>
      <c r="G507" s="167">
        <f>G508</f>
        <v>33.728670000000001</v>
      </c>
      <c r="H507" s="381">
        <v>0</v>
      </c>
      <c r="I507" s="167">
        <f>I508</f>
        <v>4.8</v>
      </c>
      <c r="J507" s="381">
        <v>0</v>
      </c>
      <c r="K507" s="680">
        <f t="shared" si="49"/>
        <v>28.92867</v>
      </c>
      <c r="L507" s="680">
        <f t="shared" si="50"/>
        <v>0</v>
      </c>
    </row>
    <row r="508" spans="1:12">
      <c r="A508" s="48" t="s">
        <v>378</v>
      </c>
      <c r="B508" s="120" t="s">
        <v>82</v>
      </c>
      <c r="C508" s="120" t="s">
        <v>154</v>
      </c>
      <c r="D508" s="120" t="s">
        <v>153</v>
      </c>
      <c r="E508" s="68" t="s">
        <v>734</v>
      </c>
      <c r="F508" s="120" t="s">
        <v>202</v>
      </c>
      <c r="G508" s="167">
        <v>33.728670000000001</v>
      </c>
      <c r="H508" s="381">
        <v>0</v>
      </c>
      <c r="I508" s="167">
        <v>4.8</v>
      </c>
      <c r="J508" s="381">
        <v>0</v>
      </c>
      <c r="K508" s="680">
        <f t="shared" si="49"/>
        <v>28.92867</v>
      </c>
      <c r="L508" s="680">
        <f t="shared" si="50"/>
        <v>0</v>
      </c>
    </row>
    <row r="509" spans="1:12" ht="110.25" hidden="1">
      <c r="A509" s="48" t="s">
        <v>1058</v>
      </c>
      <c r="B509" s="120" t="s">
        <v>82</v>
      </c>
      <c r="C509" s="120" t="s">
        <v>154</v>
      </c>
      <c r="D509" s="120" t="s">
        <v>153</v>
      </c>
      <c r="E509" s="68" t="s">
        <v>1062</v>
      </c>
      <c r="F509" s="120"/>
      <c r="G509" s="167">
        <f>G510</f>
        <v>0</v>
      </c>
      <c r="H509" s="381">
        <f>H510</f>
        <v>0</v>
      </c>
      <c r="I509" s="167">
        <f>I510</f>
        <v>0</v>
      </c>
      <c r="J509" s="381">
        <f>J510</f>
        <v>0</v>
      </c>
      <c r="K509" s="680">
        <f t="shared" si="49"/>
        <v>0</v>
      </c>
      <c r="L509" s="680">
        <f t="shared" si="50"/>
        <v>0</v>
      </c>
    </row>
    <row r="510" spans="1:12" hidden="1">
      <c r="A510" s="48" t="s">
        <v>378</v>
      </c>
      <c r="B510" s="120" t="s">
        <v>82</v>
      </c>
      <c r="C510" s="120" t="s">
        <v>154</v>
      </c>
      <c r="D510" s="120" t="s">
        <v>153</v>
      </c>
      <c r="E510" s="68" t="s">
        <v>1062</v>
      </c>
      <c r="F510" s="120" t="s">
        <v>202</v>
      </c>
      <c r="G510" s="167"/>
      <c r="H510" s="381">
        <f>G510</f>
        <v>0</v>
      </c>
      <c r="I510" s="167"/>
      <c r="J510" s="381">
        <f>I510</f>
        <v>0</v>
      </c>
      <c r="K510" s="680">
        <f t="shared" si="49"/>
        <v>0</v>
      </c>
      <c r="L510" s="680">
        <f t="shared" si="50"/>
        <v>0</v>
      </c>
    </row>
    <row r="511" spans="1:12" ht="110.25" hidden="1">
      <c r="A511" s="48" t="s">
        <v>1058</v>
      </c>
      <c r="B511" s="120" t="s">
        <v>82</v>
      </c>
      <c r="C511" s="120" t="s">
        <v>154</v>
      </c>
      <c r="D511" s="120" t="s">
        <v>153</v>
      </c>
      <c r="E511" s="68" t="s">
        <v>1062</v>
      </c>
      <c r="F511" s="120"/>
      <c r="G511" s="167">
        <f>G512</f>
        <v>0</v>
      </c>
      <c r="H511" s="381"/>
      <c r="I511" s="167">
        <f>I512</f>
        <v>0</v>
      </c>
      <c r="J511" s="381"/>
      <c r="K511" s="680">
        <f t="shared" si="49"/>
        <v>0</v>
      </c>
      <c r="L511" s="680">
        <f t="shared" si="50"/>
        <v>0</v>
      </c>
    </row>
    <row r="512" spans="1:12" hidden="1">
      <c r="A512" s="48" t="s">
        <v>378</v>
      </c>
      <c r="B512" s="120" t="s">
        <v>82</v>
      </c>
      <c r="C512" s="120" t="s">
        <v>154</v>
      </c>
      <c r="D512" s="120" t="s">
        <v>153</v>
      </c>
      <c r="E512" s="68" t="s">
        <v>1062</v>
      </c>
      <c r="F512" s="120" t="s">
        <v>202</v>
      </c>
      <c r="G512" s="167"/>
      <c r="H512" s="381"/>
      <c r="I512" s="167"/>
      <c r="J512" s="381"/>
      <c r="K512" s="680">
        <f t="shared" si="49"/>
        <v>0</v>
      </c>
      <c r="L512" s="680">
        <f t="shared" si="50"/>
        <v>0</v>
      </c>
    </row>
    <row r="513" spans="1:12" ht="47.25">
      <c r="A513" s="48" t="s">
        <v>738</v>
      </c>
      <c r="B513" s="120" t="s">
        <v>82</v>
      </c>
      <c r="C513" s="120" t="s">
        <v>154</v>
      </c>
      <c r="D513" s="120" t="s">
        <v>153</v>
      </c>
      <c r="E513" s="68" t="s">
        <v>740</v>
      </c>
      <c r="F513" s="120"/>
      <c r="G513" s="167">
        <f>G514</f>
        <v>27547.599999999999</v>
      </c>
      <c r="H513" s="381">
        <f>H514</f>
        <v>27547.599999999999</v>
      </c>
      <c r="I513" s="167">
        <f>I514</f>
        <v>26676.799999999999</v>
      </c>
      <c r="J513" s="381">
        <f>J514</f>
        <v>26676.799999999999</v>
      </c>
      <c r="K513" s="680">
        <f t="shared" si="49"/>
        <v>870.79999999999927</v>
      </c>
      <c r="L513" s="680">
        <f t="shared" si="50"/>
        <v>870.79999999999927</v>
      </c>
    </row>
    <row r="514" spans="1:12">
      <c r="A514" s="48" t="s">
        <v>378</v>
      </c>
      <c r="B514" s="120" t="s">
        <v>82</v>
      </c>
      <c r="C514" s="120" t="s">
        <v>154</v>
      </c>
      <c r="D514" s="120" t="s">
        <v>153</v>
      </c>
      <c r="E514" s="68" t="s">
        <v>740</v>
      </c>
      <c r="F514" s="120" t="s">
        <v>202</v>
      </c>
      <c r="G514" s="167">
        <f>26676.8+870.8</f>
        <v>27547.599999999999</v>
      </c>
      <c r="H514" s="381">
        <f>G514</f>
        <v>27547.599999999999</v>
      </c>
      <c r="I514" s="167">
        <v>26676.799999999999</v>
      </c>
      <c r="J514" s="381">
        <f>I514</f>
        <v>26676.799999999999</v>
      </c>
      <c r="K514" s="680">
        <f t="shared" si="49"/>
        <v>870.79999999999927</v>
      </c>
      <c r="L514" s="680">
        <f t="shared" si="50"/>
        <v>870.79999999999927</v>
      </c>
    </row>
    <row r="515" spans="1:12" ht="63">
      <c r="A515" s="48" t="s">
        <v>739</v>
      </c>
      <c r="B515" s="120" t="s">
        <v>82</v>
      </c>
      <c r="C515" s="120" t="s">
        <v>154</v>
      </c>
      <c r="D515" s="120" t="s">
        <v>153</v>
      </c>
      <c r="E515" s="68" t="s">
        <v>740</v>
      </c>
      <c r="F515" s="120"/>
      <c r="G515" s="167">
        <f>G516</f>
        <v>280.71922999999998</v>
      </c>
      <c r="H515" s="381">
        <v>0</v>
      </c>
      <c r="I515" s="167">
        <f>I516</f>
        <v>280.71922999999998</v>
      </c>
      <c r="J515" s="381">
        <v>0</v>
      </c>
      <c r="K515" s="680">
        <f t="shared" si="49"/>
        <v>0</v>
      </c>
      <c r="L515" s="680">
        <f t="shared" si="50"/>
        <v>0</v>
      </c>
    </row>
    <row r="516" spans="1:12">
      <c r="A516" s="48" t="s">
        <v>378</v>
      </c>
      <c r="B516" s="120" t="s">
        <v>82</v>
      </c>
      <c r="C516" s="120" t="s">
        <v>154</v>
      </c>
      <c r="D516" s="120" t="s">
        <v>153</v>
      </c>
      <c r="E516" s="68" t="s">
        <v>740</v>
      </c>
      <c r="F516" s="120" t="s">
        <v>202</v>
      </c>
      <c r="G516" s="167">
        <v>280.71922999999998</v>
      </c>
      <c r="H516" s="381">
        <v>0</v>
      </c>
      <c r="I516" s="167">
        <v>280.71922999999998</v>
      </c>
      <c r="J516" s="381">
        <v>0</v>
      </c>
      <c r="K516" s="680">
        <f t="shared" si="49"/>
        <v>0</v>
      </c>
      <c r="L516" s="680">
        <f t="shared" si="50"/>
        <v>0</v>
      </c>
    </row>
    <row r="517" spans="1:12" ht="47.25">
      <c r="A517" s="48" t="s">
        <v>554</v>
      </c>
      <c r="B517" s="68" t="s">
        <v>82</v>
      </c>
      <c r="C517" s="68" t="s">
        <v>154</v>
      </c>
      <c r="D517" s="68" t="s">
        <v>153</v>
      </c>
      <c r="E517" s="120" t="s">
        <v>555</v>
      </c>
      <c r="F517" s="68"/>
      <c r="G517" s="119">
        <f>G518</f>
        <v>33747.799999999996</v>
      </c>
      <c r="H517" s="381">
        <f>H518</f>
        <v>33747.799999999996</v>
      </c>
      <c r="I517" s="119">
        <f>I518</f>
        <v>35313.199999999997</v>
      </c>
      <c r="J517" s="381">
        <f>J518</f>
        <v>35313.199999999997</v>
      </c>
      <c r="K517" s="680">
        <f t="shared" si="49"/>
        <v>-1565.4000000000015</v>
      </c>
      <c r="L517" s="680">
        <f t="shared" si="50"/>
        <v>-1565.4000000000015</v>
      </c>
    </row>
    <row r="518" spans="1:12">
      <c r="A518" s="48" t="s">
        <v>205</v>
      </c>
      <c r="B518" s="68" t="s">
        <v>82</v>
      </c>
      <c r="C518" s="68" t="s">
        <v>154</v>
      </c>
      <c r="D518" s="68" t="s">
        <v>153</v>
      </c>
      <c r="E518" s="120" t="s">
        <v>555</v>
      </c>
      <c r="F518" s="68" t="s">
        <v>202</v>
      </c>
      <c r="G518" s="119">
        <f>35313.2-1565.4</f>
        <v>33747.799999999996</v>
      </c>
      <c r="H518" s="381">
        <f>G518</f>
        <v>33747.799999999996</v>
      </c>
      <c r="I518" s="119">
        <v>35313.199999999997</v>
      </c>
      <c r="J518" s="381">
        <f>I518</f>
        <v>35313.199999999997</v>
      </c>
      <c r="K518" s="680">
        <f t="shared" si="49"/>
        <v>-1565.4000000000015</v>
      </c>
      <c r="L518" s="680">
        <f t="shared" si="50"/>
        <v>-1565.4000000000015</v>
      </c>
    </row>
    <row r="519" spans="1:12" ht="63" hidden="1">
      <c r="A519" s="173" t="s">
        <v>998</v>
      </c>
      <c r="B519" s="120" t="s">
        <v>82</v>
      </c>
      <c r="C519" s="68" t="s">
        <v>154</v>
      </c>
      <c r="D519" s="68" t="s">
        <v>153</v>
      </c>
      <c r="E519" s="276" t="s">
        <v>999</v>
      </c>
      <c r="F519" s="68"/>
      <c r="G519" s="119">
        <f>G520</f>
        <v>0</v>
      </c>
      <c r="H519" s="381">
        <f>H520</f>
        <v>0</v>
      </c>
      <c r="I519" s="119">
        <f>I520</f>
        <v>0</v>
      </c>
      <c r="J519" s="381">
        <f>J520</f>
        <v>0</v>
      </c>
      <c r="K519" s="680">
        <f t="shared" si="49"/>
        <v>0</v>
      </c>
      <c r="L519" s="680">
        <f t="shared" si="50"/>
        <v>0</v>
      </c>
    </row>
    <row r="520" spans="1:12" hidden="1">
      <c r="A520" s="138" t="s">
        <v>205</v>
      </c>
      <c r="B520" s="120" t="s">
        <v>82</v>
      </c>
      <c r="C520" s="68" t="s">
        <v>154</v>
      </c>
      <c r="D520" s="68" t="s">
        <v>153</v>
      </c>
      <c r="E520" s="276" t="s">
        <v>999</v>
      </c>
      <c r="F520" s="68" t="s">
        <v>202</v>
      </c>
      <c r="G520" s="119"/>
      <c r="H520" s="381">
        <f>G520</f>
        <v>0</v>
      </c>
      <c r="I520" s="119"/>
      <c r="J520" s="381">
        <f>I520</f>
        <v>0</v>
      </c>
      <c r="K520" s="680">
        <f t="shared" si="49"/>
        <v>0</v>
      </c>
      <c r="L520" s="680">
        <f t="shared" si="50"/>
        <v>0</v>
      </c>
    </row>
    <row r="521" spans="1:12" ht="81" hidden="1" customHeight="1">
      <c r="A521" s="138" t="s">
        <v>1039</v>
      </c>
      <c r="B521" s="120" t="s">
        <v>82</v>
      </c>
      <c r="C521" s="68" t="s">
        <v>154</v>
      </c>
      <c r="D521" s="68" t="s">
        <v>153</v>
      </c>
      <c r="E521" s="276" t="s">
        <v>1045</v>
      </c>
      <c r="F521" s="68"/>
      <c r="G521" s="119">
        <f>G522</f>
        <v>0</v>
      </c>
      <c r="H521" s="381">
        <f>H522</f>
        <v>0</v>
      </c>
      <c r="I521" s="119">
        <f>I522</f>
        <v>0</v>
      </c>
      <c r="J521" s="381">
        <f>J522</f>
        <v>0</v>
      </c>
      <c r="K521" s="680">
        <f t="shared" si="49"/>
        <v>0</v>
      </c>
      <c r="L521" s="680">
        <f t="shared" si="50"/>
        <v>0</v>
      </c>
    </row>
    <row r="522" spans="1:12" hidden="1">
      <c r="A522" s="138" t="s">
        <v>205</v>
      </c>
      <c r="B522" s="120" t="s">
        <v>82</v>
      </c>
      <c r="C522" s="68" t="s">
        <v>154</v>
      </c>
      <c r="D522" s="68" t="s">
        <v>153</v>
      </c>
      <c r="E522" s="276" t="s">
        <v>1045</v>
      </c>
      <c r="F522" s="68" t="s">
        <v>202</v>
      </c>
      <c r="G522" s="119"/>
      <c r="H522" s="381">
        <f>G522</f>
        <v>0</v>
      </c>
      <c r="I522" s="119"/>
      <c r="J522" s="381">
        <f>I522</f>
        <v>0</v>
      </c>
      <c r="K522" s="680">
        <f t="shared" si="49"/>
        <v>0</v>
      </c>
      <c r="L522" s="680">
        <f t="shared" si="50"/>
        <v>0</v>
      </c>
    </row>
    <row r="523" spans="1:12" ht="78.75" hidden="1">
      <c r="A523" s="138" t="s">
        <v>1047</v>
      </c>
      <c r="B523" s="120" t="s">
        <v>82</v>
      </c>
      <c r="C523" s="68" t="s">
        <v>154</v>
      </c>
      <c r="D523" s="68" t="s">
        <v>153</v>
      </c>
      <c r="E523" s="276" t="s">
        <v>1045</v>
      </c>
      <c r="F523" s="68"/>
      <c r="G523" s="119">
        <f>G524</f>
        <v>0</v>
      </c>
      <c r="H523" s="381"/>
      <c r="I523" s="119">
        <f>I524</f>
        <v>0</v>
      </c>
      <c r="J523" s="381"/>
      <c r="K523" s="680">
        <f t="shared" si="49"/>
        <v>0</v>
      </c>
      <c r="L523" s="680">
        <f t="shared" si="50"/>
        <v>0</v>
      </c>
    </row>
    <row r="524" spans="1:12" hidden="1">
      <c r="A524" s="138" t="s">
        <v>205</v>
      </c>
      <c r="B524" s="120" t="s">
        <v>82</v>
      </c>
      <c r="C524" s="68" t="s">
        <v>154</v>
      </c>
      <c r="D524" s="68" t="s">
        <v>153</v>
      </c>
      <c r="E524" s="276" t="s">
        <v>1045</v>
      </c>
      <c r="F524" s="68" t="s">
        <v>202</v>
      </c>
      <c r="G524" s="119"/>
      <c r="H524" s="381"/>
      <c r="I524" s="119"/>
      <c r="J524" s="381"/>
      <c r="K524" s="680">
        <f t="shared" si="49"/>
        <v>0</v>
      </c>
      <c r="L524" s="680">
        <f t="shared" si="50"/>
        <v>0</v>
      </c>
    </row>
    <row r="525" spans="1:12" ht="47.25">
      <c r="A525" s="564" t="s">
        <v>1008</v>
      </c>
      <c r="B525" s="155" t="s">
        <v>82</v>
      </c>
      <c r="C525" s="155" t="s">
        <v>154</v>
      </c>
      <c r="D525" s="155" t="s">
        <v>153</v>
      </c>
      <c r="E525" s="158" t="s">
        <v>715</v>
      </c>
      <c r="F525" s="155"/>
      <c r="G525" s="163">
        <f>G526</f>
        <v>4185.7599999999993</v>
      </c>
      <c r="H525" s="163">
        <f>H526</f>
        <v>4143.8999999999996</v>
      </c>
      <c r="I525" s="163">
        <f>I526</f>
        <v>0</v>
      </c>
      <c r="J525" s="163">
        <v>0</v>
      </c>
      <c r="K525" s="680">
        <f t="shared" si="49"/>
        <v>4185.7599999999993</v>
      </c>
      <c r="L525" s="680">
        <f t="shared" si="50"/>
        <v>4143.8999999999996</v>
      </c>
    </row>
    <row r="526" spans="1:12" ht="31.5">
      <c r="A526" s="564" t="s">
        <v>721</v>
      </c>
      <c r="B526" s="155" t="s">
        <v>82</v>
      </c>
      <c r="C526" s="155" t="s">
        <v>154</v>
      </c>
      <c r="D526" s="155" t="s">
        <v>153</v>
      </c>
      <c r="E526" s="158" t="s">
        <v>712</v>
      </c>
      <c r="F526" s="155"/>
      <c r="G526" s="163">
        <f>G528+G529+G531</f>
        <v>4185.7599999999993</v>
      </c>
      <c r="H526" s="163">
        <f>H529</f>
        <v>4143.8999999999996</v>
      </c>
      <c r="I526" s="163">
        <f>I528</f>
        <v>0</v>
      </c>
      <c r="J526" s="163">
        <v>0</v>
      </c>
      <c r="K526" s="680">
        <f t="shared" si="49"/>
        <v>4185.7599999999993</v>
      </c>
      <c r="L526" s="680">
        <f t="shared" si="50"/>
        <v>4143.8999999999996</v>
      </c>
    </row>
    <row r="527" spans="1:12" ht="31.5" hidden="1">
      <c r="A527" s="175" t="s">
        <v>705</v>
      </c>
      <c r="B527" s="172" t="s">
        <v>82</v>
      </c>
      <c r="C527" s="172" t="s">
        <v>154</v>
      </c>
      <c r="D527" s="172" t="s">
        <v>153</v>
      </c>
      <c r="E527" s="276"/>
      <c r="F527" s="172"/>
      <c r="G527" s="167">
        <f>G528</f>
        <v>0</v>
      </c>
      <c r="H527" s="167">
        <v>0</v>
      </c>
      <c r="I527" s="167">
        <f>I528</f>
        <v>0</v>
      </c>
      <c r="J527" s="167">
        <v>0</v>
      </c>
      <c r="K527" s="680">
        <f t="shared" si="49"/>
        <v>0</v>
      </c>
      <c r="L527" s="680">
        <f t="shared" si="50"/>
        <v>0</v>
      </c>
    </row>
    <row r="528" spans="1:12" hidden="1">
      <c r="A528" s="48" t="s">
        <v>205</v>
      </c>
      <c r="B528" s="68" t="s">
        <v>82</v>
      </c>
      <c r="C528" s="68" t="s">
        <v>154</v>
      </c>
      <c r="D528" s="68" t="s">
        <v>153</v>
      </c>
      <c r="E528" s="120" t="s">
        <v>710</v>
      </c>
      <c r="F528" s="68" t="s">
        <v>202</v>
      </c>
      <c r="G528" s="119"/>
      <c r="H528" s="381">
        <v>0</v>
      </c>
      <c r="I528" s="119"/>
      <c r="J528" s="381">
        <v>0</v>
      </c>
      <c r="K528" s="680">
        <f t="shared" si="49"/>
        <v>0</v>
      </c>
      <c r="L528" s="680">
        <f t="shared" si="50"/>
        <v>0</v>
      </c>
    </row>
    <row r="529" spans="1:12" ht="63">
      <c r="A529" s="48" t="s">
        <v>1246</v>
      </c>
      <c r="B529" s="68" t="s">
        <v>82</v>
      </c>
      <c r="C529" s="68" t="s">
        <v>154</v>
      </c>
      <c r="D529" s="68" t="s">
        <v>153</v>
      </c>
      <c r="E529" s="276" t="s">
        <v>1045</v>
      </c>
      <c r="F529" s="172"/>
      <c r="G529" s="119">
        <f>G530</f>
        <v>4143.8999999999996</v>
      </c>
      <c r="H529" s="381">
        <f>H530</f>
        <v>4143.8999999999996</v>
      </c>
      <c r="I529" s="119"/>
      <c r="J529" s="381"/>
      <c r="K529" s="680">
        <f t="shared" si="49"/>
        <v>4143.8999999999996</v>
      </c>
      <c r="L529" s="680">
        <f t="shared" si="50"/>
        <v>4143.8999999999996</v>
      </c>
    </row>
    <row r="530" spans="1:12">
      <c r="A530" s="48" t="s">
        <v>205</v>
      </c>
      <c r="B530" s="68" t="s">
        <v>82</v>
      </c>
      <c r="C530" s="68" t="s">
        <v>154</v>
      </c>
      <c r="D530" s="68" t="s">
        <v>153</v>
      </c>
      <c r="E530" s="276" t="s">
        <v>1045</v>
      </c>
      <c r="F530" s="172" t="s">
        <v>202</v>
      </c>
      <c r="G530" s="119">
        <v>4143.8999999999996</v>
      </c>
      <c r="H530" s="381">
        <f>G530</f>
        <v>4143.8999999999996</v>
      </c>
      <c r="I530" s="119"/>
      <c r="J530" s="381"/>
      <c r="K530" s="680">
        <f t="shared" si="49"/>
        <v>4143.8999999999996</v>
      </c>
      <c r="L530" s="680">
        <f t="shared" si="50"/>
        <v>4143.8999999999996</v>
      </c>
    </row>
    <row r="531" spans="1:12" ht="78.75">
      <c r="A531" s="48" t="s">
        <v>1263</v>
      </c>
      <c r="B531" s="68" t="s">
        <v>82</v>
      </c>
      <c r="C531" s="68" t="s">
        <v>154</v>
      </c>
      <c r="D531" s="68" t="s">
        <v>153</v>
      </c>
      <c r="E531" s="276" t="s">
        <v>1045</v>
      </c>
      <c r="F531" s="172"/>
      <c r="G531" s="119">
        <f>G532</f>
        <v>41.86</v>
      </c>
      <c r="H531" s="381">
        <v>0</v>
      </c>
      <c r="I531" s="119"/>
      <c r="J531" s="381"/>
      <c r="K531" s="680">
        <f t="shared" si="49"/>
        <v>41.86</v>
      </c>
      <c r="L531" s="680">
        <f t="shared" si="50"/>
        <v>0</v>
      </c>
    </row>
    <row r="532" spans="1:12">
      <c r="A532" s="48" t="s">
        <v>205</v>
      </c>
      <c r="B532" s="68" t="s">
        <v>82</v>
      </c>
      <c r="C532" s="68" t="s">
        <v>154</v>
      </c>
      <c r="D532" s="68" t="s">
        <v>153</v>
      </c>
      <c r="E532" s="276" t="s">
        <v>1045</v>
      </c>
      <c r="F532" s="172" t="s">
        <v>202</v>
      </c>
      <c r="G532" s="119">
        <v>41.86</v>
      </c>
      <c r="H532" s="381">
        <v>0</v>
      </c>
      <c r="I532" s="119"/>
      <c r="J532" s="381"/>
      <c r="K532" s="680"/>
      <c r="L532" s="680"/>
    </row>
    <row r="533" spans="1:12" ht="31.5" hidden="1">
      <c r="A533" s="564" t="s">
        <v>969</v>
      </c>
      <c r="B533" s="155" t="s">
        <v>82</v>
      </c>
      <c r="C533" s="155" t="s">
        <v>154</v>
      </c>
      <c r="D533" s="155" t="s">
        <v>153</v>
      </c>
      <c r="E533" s="158" t="s">
        <v>713</v>
      </c>
      <c r="F533" s="155"/>
      <c r="G533" s="163">
        <f>G534</f>
        <v>0</v>
      </c>
      <c r="H533" s="163">
        <f>H534</f>
        <v>0</v>
      </c>
      <c r="I533" s="163">
        <f>I534</f>
        <v>0</v>
      </c>
      <c r="J533" s="163">
        <f>J534</f>
        <v>0</v>
      </c>
      <c r="K533" s="680">
        <f t="shared" si="49"/>
        <v>0</v>
      </c>
      <c r="L533" s="680">
        <f t="shared" si="50"/>
        <v>0</v>
      </c>
    </row>
    <row r="534" spans="1:12" ht="31.5" hidden="1">
      <c r="A534" s="564" t="s">
        <v>720</v>
      </c>
      <c r="B534" s="155" t="s">
        <v>82</v>
      </c>
      <c r="C534" s="155" t="s">
        <v>154</v>
      </c>
      <c r="D534" s="155" t="s">
        <v>153</v>
      </c>
      <c r="E534" s="158" t="s">
        <v>714</v>
      </c>
      <c r="F534" s="155"/>
      <c r="G534" s="163">
        <f>G537+G539+G535</f>
        <v>0</v>
      </c>
      <c r="H534" s="163">
        <f>H537+H539</f>
        <v>0</v>
      </c>
      <c r="I534" s="163">
        <f>I537+I539+I535</f>
        <v>0</v>
      </c>
      <c r="J534" s="163">
        <f>J537+J539</f>
        <v>0</v>
      </c>
      <c r="K534" s="680">
        <f t="shared" si="49"/>
        <v>0</v>
      </c>
      <c r="L534" s="680">
        <f t="shared" si="50"/>
        <v>0</v>
      </c>
    </row>
    <row r="535" spans="1:12" s="174" customFormat="1" ht="31.5" hidden="1" customHeight="1">
      <c r="A535" s="164" t="s">
        <v>763</v>
      </c>
      <c r="B535" s="68" t="s">
        <v>82</v>
      </c>
      <c r="C535" s="68" t="s">
        <v>154</v>
      </c>
      <c r="D535" s="68" t="s">
        <v>153</v>
      </c>
      <c r="E535" s="276" t="s">
        <v>719</v>
      </c>
      <c r="F535" s="172"/>
      <c r="G535" s="167">
        <f>G536</f>
        <v>0</v>
      </c>
      <c r="H535" s="167">
        <v>0</v>
      </c>
      <c r="I535" s="167">
        <f>I536</f>
        <v>0</v>
      </c>
      <c r="J535" s="167">
        <v>0</v>
      </c>
      <c r="K535" s="680">
        <f t="shared" si="49"/>
        <v>0</v>
      </c>
      <c r="L535" s="680">
        <f t="shared" si="50"/>
        <v>0</v>
      </c>
    </row>
    <row r="536" spans="1:12" s="174" customFormat="1" ht="23.25" hidden="1" customHeight="1">
      <c r="A536" s="48" t="s">
        <v>205</v>
      </c>
      <c r="B536" s="68" t="s">
        <v>82</v>
      </c>
      <c r="C536" s="68" t="s">
        <v>154</v>
      </c>
      <c r="D536" s="68" t="s">
        <v>153</v>
      </c>
      <c r="E536" s="276" t="s">
        <v>719</v>
      </c>
      <c r="F536" s="172" t="s">
        <v>202</v>
      </c>
      <c r="G536" s="167"/>
      <c r="H536" s="167">
        <v>0</v>
      </c>
      <c r="I536" s="167"/>
      <c r="J536" s="167">
        <v>0</v>
      </c>
      <c r="K536" s="680">
        <f t="shared" si="49"/>
        <v>0</v>
      </c>
      <c r="L536" s="680">
        <f t="shared" si="50"/>
        <v>0</v>
      </c>
    </row>
    <row r="537" spans="1:12" s="174" customFormat="1" ht="47.25" hidden="1">
      <c r="A537" s="138" t="s">
        <v>497</v>
      </c>
      <c r="B537" s="68" t="s">
        <v>82</v>
      </c>
      <c r="C537" s="68" t="s">
        <v>154</v>
      </c>
      <c r="D537" s="68" t="s">
        <v>153</v>
      </c>
      <c r="E537" s="172" t="s">
        <v>716</v>
      </c>
      <c r="F537" s="731"/>
      <c r="G537" s="167">
        <f>G538</f>
        <v>0</v>
      </c>
      <c r="H537" s="381">
        <f>H538</f>
        <v>0</v>
      </c>
      <c r="I537" s="167">
        <f>I538</f>
        <v>0</v>
      </c>
      <c r="J537" s="381">
        <f>J538</f>
        <v>0</v>
      </c>
      <c r="K537" s="680">
        <f t="shared" si="49"/>
        <v>0</v>
      </c>
      <c r="L537" s="680">
        <f t="shared" si="50"/>
        <v>0</v>
      </c>
    </row>
    <row r="538" spans="1:12" hidden="1">
      <c r="A538" s="48" t="s">
        <v>205</v>
      </c>
      <c r="B538" s="68" t="s">
        <v>82</v>
      </c>
      <c r="C538" s="68" t="s">
        <v>154</v>
      </c>
      <c r="D538" s="68" t="s">
        <v>153</v>
      </c>
      <c r="E538" s="172" t="s">
        <v>716</v>
      </c>
      <c r="F538" s="172" t="s">
        <v>202</v>
      </c>
      <c r="G538" s="119"/>
      <c r="H538" s="381">
        <f>G538</f>
        <v>0</v>
      </c>
      <c r="I538" s="119"/>
      <c r="J538" s="381">
        <f>I538</f>
        <v>0</v>
      </c>
      <c r="K538" s="680">
        <f t="shared" si="49"/>
        <v>0</v>
      </c>
      <c r="L538" s="680">
        <f t="shared" si="50"/>
        <v>0</v>
      </c>
    </row>
    <row r="539" spans="1:12" ht="63" hidden="1">
      <c r="A539" s="138" t="s">
        <v>498</v>
      </c>
      <c r="B539" s="68" t="s">
        <v>82</v>
      </c>
      <c r="C539" s="68" t="s">
        <v>154</v>
      </c>
      <c r="D539" s="68" t="s">
        <v>153</v>
      </c>
      <c r="E539" s="172" t="s">
        <v>716</v>
      </c>
      <c r="F539" s="731"/>
      <c r="G539" s="119">
        <f>G540</f>
        <v>0</v>
      </c>
      <c r="H539" s="381">
        <v>0</v>
      </c>
      <c r="I539" s="119">
        <f>I540</f>
        <v>0</v>
      </c>
      <c r="J539" s="381">
        <v>0</v>
      </c>
      <c r="K539" s="680">
        <f t="shared" si="49"/>
        <v>0</v>
      </c>
      <c r="L539" s="680">
        <f t="shared" si="50"/>
        <v>0</v>
      </c>
    </row>
    <row r="540" spans="1:12" hidden="1">
      <c r="A540" s="48" t="s">
        <v>378</v>
      </c>
      <c r="B540" s="68" t="s">
        <v>82</v>
      </c>
      <c r="C540" s="68" t="s">
        <v>154</v>
      </c>
      <c r="D540" s="68" t="s">
        <v>153</v>
      </c>
      <c r="E540" s="172" t="s">
        <v>716</v>
      </c>
      <c r="F540" s="172" t="s">
        <v>202</v>
      </c>
      <c r="G540" s="119"/>
      <c r="H540" s="381">
        <v>0</v>
      </c>
      <c r="I540" s="119"/>
      <c r="J540" s="381">
        <v>0</v>
      </c>
      <c r="K540" s="680">
        <f t="shared" si="49"/>
        <v>0</v>
      </c>
      <c r="L540" s="680">
        <f t="shared" si="50"/>
        <v>0</v>
      </c>
    </row>
    <row r="541" spans="1:12" ht="57.75" customHeight="1">
      <c r="A541" s="637" t="s">
        <v>1123</v>
      </c>
      <c r="B541" s="515" t="s">
        <v>82</v>
      </c>
      <c r="C541" s="515" t="s">
        <v>154</v>
      </c>
      <c r="D541" s="515" t="s">
        <v>153</v>
      </c>
      <c r="E541" s="515" t="s">
        <v>762</v>
      </c>
      <c r="F541" s="515"/>
      <c r="G541" s="377">
        <f>G542</f>
        <v>59.422110000000004</v>
      </c>
      <c r="H541" s="737">
        <v>0</v>
      </c>
      <c r="I541" s="377">
        <f>I542</f>
        <v>59.422110000000004</v>
      </c>
      <c r="J541" s="737">
        <v>0</v>
      </c>
      <c r="K541" s="680">
        <f t="shared" si="49"/>
        <v>0</v>
      </c>
      <c r="L541" s="680">
        <f t="shared" si="50"/>
        <v>0</v>
      </c>
    </row>
    <row r="542" spans="1:12" ht="31.5">
      <c r="A542" s="585" t="s">
        <v>761</v>
      </c>
      <c r="B542" s="68" t="s">
        <v>82</v>
      </c>
      <c r="C542" s="68" t="s">
        <v>154</v>
      </c>
      <c r="D542" s="68" t="s">
        <v>153</v>
      </c>
      <c r="E542" s="172" t="s">
        <v>762</v>
      </c>
      <c r="F542" s="172"/>
      <c r="G542" s="119">
        <f>G543</f>
        <v>59.422110000000004</v>
      </c>
      <c r="H542" s="381">
        <v>0</v>
      </c>
      <c r="I542" s="119">
        <f>I543</f>
        <v>59.422110000000004</v>
      </c>
      <c r="J542" s="381">
        <v>0</v>
      </c>
      <c r="K542" s="680">
        <f t="shared" ref="K542:K605" si="51">G542-I542</f>
        <v>0</v>
      </c>
      <c r="L542" s="680">
        <f t="shared" ref="L542:L605" si="52">H542-J542</f>
        <v>0</v>
      </c>
    </row>
    <row r="543" spans="1:12">
      <c r="A543" s="48" t="s">
        <v>378</v>
      </c>
      <c r="B543" s="68" t="s">
        <v>82</v>
      </c>
      <c r="C543" s="68" t="s">
        <v>154</v>
      </c>
      <c r="D543" s="68" t="s">
        <v>153</v>
      </c>
      <c r="E543" s="172" t="s">
        <v>762</v>
      </c>
      <c r="F543" s="172" t="s">
        <v>202</v>
      </c>
      <c r="G543" s="119">
        <v>59.422110000000004</v>
      </c>
      <c r="H543" s="381">
        <v>0</v>
      </c>
      <c r="I543" s="119">
        <v>59.422110000000004</v>
      </c>
      <c r="J543" s="381">
        <v>0</v>
      </c>
      <c r="K543" s="680">
        <f t="shared" si="51"/>
        <v>0</v>
      </c>
      <c r="L543" s="680">
        <f t="shared" si="52"/>
        <v>0</v>
      </c>
    </row>
    <row r="544" spans="1:12" ht="31.5">
      <c r="A544" s="496" t="s">
        <v>1116</v>
      </c>
      <c r="B544" s="515" t="s">
        <v>82</v>
      </c>
      <c r="C544" s="515" t="s">
        <v>154</v>
      </c>
      <c r="D544" s="515" t="s">
        <v>153</v>
      </c>
      <c r="E544" s="515" t="s">
        <v>783</v>
      </c>
      <c r="F544" s="515"/>
      <c r="G544" s="377">
        <f>G545</f>
        <v>880.70600000000002</v>
      </c>
      <c r="H544" s="737">
        <v>0</v>
      </c>
      <c r="I544" s="377">
        <f>I545</f>
        <v>0</v>
      </c>
      <c r="J544" s="737">
        <v>0</v>
      </c>
      <c r="K544" s="680">
        <f t="shared" si="51"/>
        <v>880.70600000000002</v>
      </c>
      <c r="L544" s="680">
        <f t="shared" si="52"/>
        <v>0</v>
      </c>
    </row>
    <row r="545" spans="1:12" ht="31.5">
      <c r="A545" s="164" t="s">
        <v>785</v>
      </c>
      <c r="B545" s="68" t="s">
        <v>82</v>
      </c>
      <c r="C545" s="68" t="s">
        <v>154</v>
      </c>
      <c r="D545" s="68" t="s">
        <v>153</v>
      </c>
      <c r="E545" s="172" t="s">
        <v>784</v>
      </c>
      <c r="F545" s="172"/>
      <c r="G545" s="119">
        <f>G546</f>
        <v>880.70600000000002</v>
      </c>
      <c r="H545" s="381">
        <v>0</v>
      </c>
      <c r="I545" s="119">
        <f>I546</f>
        <v>0</v>
      </c>
      <c r="J545" s="381">
        <v>0</v>
      </c>
      <c r="K545" s="680">
        <f t="shared" si="51"/>
        <v>880.70600000000002</v>
      </c>
      <c r="L545" s="680">
        <f t="shared" si="52"/>
        <v>0</v>
      </c>
    </row>
    <row r="546" spans="1:12">
      <c r="A546" s="48" t="s">
        <v>378</v>
      </c>
      <c r="B546" s="68" t="s">
        <v>82</v>
      </c>
      <c r="C546" s="68" t="s">
        <v>154</v>
      </c>
      <c r="D546" s="68" t="s">
        <v>153</v>
      </c>
      <c r="E546" s="172" t="s">
        <v>784</v>
      </c>
      <c r="F546" s="172" t="s">
        <v>202</v>
      </c>
      <c r="G546" s="119">
        <f>123.428+675.278+82</f>
        <v>880.70600000000002</v>
      </c>
      <c r="H546" s="381">
        <v>0</v>
      </c>
      <c r="I546" s="119"/>
      <c r="J546" s="381">
        <v>0</v>
      </c>
      <c r="K546" s="680">
        <f t="shared" si="51"/>
        <v>880.70600000000002</v>
      </c>
      <c r="L546" s="680">
        <f t="shared" si="52"/>
        <v>0</v>
      </c>
    </row>
    <row r="547" spans="1:12" ht="47.25">
      <c r="A547" s="496" t="s">
        <v>909</v>
      </c>
      <c r="B547" s="153" t="s">
        <v>82</v>
      </c>
      <c r="C547" s="670" t="s">
        <v>154</v>
      </c>
      <c r="D547" s="670" t="s">
        <v>153</v>
      </c>
      <c r="E547" s="671" t="s">
        <v>907</v>
      </c>
      <c r="F547" s="671"/>
      <c r="G547" s="162">
        <f>G548</f>
        <v>300</v>
      </c>
      <c r="H547" s="381">
        <v>0</v>
      </c>
      <c r="I547" s="162">
        <f>I548</f>
        <v>300</v>
      </c>
      <c r="J547" s="381">
        <v>0</v>
      </c>
      <c r="K547" s="680">
        <f t="shared" si="51"/>
        <v>0</v>
      </c>
      <c r="L547" s="680">
        <f t="shared" si="52"/>
        <v>0</v>
      </c>
    </row>
    <row r="548" spans="1:12" ht="63">
      <c r="A548" s="138" t="s">
        <v>910</v>
      </c>
      <c r="B548" s="120" t="s">
        <v>82</v>
      </c>
      <c r="C548" s="477" t="s">
        <v>154</v>
      </c>
      <c r="D548" s="477" t="s">
        <v>153</v>
      </c>
      <c r="E548" s="199" t="s">
        <v>907</v>
      </c>
      <c r="F548" s="199"/>
      <c r="G548" s="119">
        <f>G549</f>
        <v>300</v>
      </c>
      <c r="H548" s="381">
        <v>0</v>
      </c>
      <c r="I548" s="119">
        <f>I549</f>
        <v>300</v>
      </c>
      <c r="J548" s="381">
        <v>0</v>
      </c>
      <c r="K548" s="680">
        <f t="shared" si="51"/>
        <v>0</v>
      </c>
      <c r="L548" s="680">
        <f t="shared" si="52"/>
        <v>0</v>
      </c>
    </row>
    <row r="549" spans="1:12" ht="39">
      <c r="A549" s="699" t="s">
        <v>994</v>
      </c>
      <c r="B549" s="120" t="s">
        <v>82</v>
      </c>
      <c r="C549" s="477" t="s">
        <v>154</v>
      </c>
      <c r="D549" s="477" t="s">
        <v>153</v>
      </c>
      <c r="E549" s="199" t="s">
        <v>908</v>
      </c>
      <c r="F549" s="199"/>
      <c r="G549" s="119">
        <f>G550</f>
        <v>300</v>
      </c>
      <c r="H549" s="381">
        <v>0</v>
      </c>
      <c r="I549" s="119">
        <f>I550</f>
        <v>300</v>
      </c>
      <c r="J549" s="381">
        <v>0</v>
      </c>
      <c r="K549" s="680">
        <f t="shared" si="51"/>
        <v>0</v>
      </c>
      <c r="L549" s="680">
        <f t="shared" si="52"/>
        <v>0</v>
      </c>
    </row>
    <row r="550" spans="1:12">
      <c r="A550" s="48" t="s">
        <v>378</v>
      </c>
      <c r="B550" s="120" t="s">
        <v>82</v>
      </c>
      <c r="C550" s="477" t="s">
        <v>154</v>
      </c>
      <c r="D550" s="477" t="s">
        <v>153</v>
      </c>
      <c r="E550" s="199" t="s">
        <v>908</v>
      </c>
      <c r="F550" s="199" t="s">
        <v>202</v>
      </c>
      <c r="G550" s="119">
        <v>300</v>
      </c>
      <c r="H550" s="381">
        <v>0</v>
      </c>
      <c r="I550" s="119">
        <v>300</v>
      </c>
      <c r="J550" s="381">
        <v>0</v>
      </c>
      <c r="K550" s="680">
        <f t="shared" si="51"/>
        <v>0</v>
      </c>
      <c r="L550" s="680">
        <f t="shared" si="52"/>
        <v>0</v>
      </c>
    </row>
    <row r="551" spans="1:12" ht="31.5" hidden="1">
      <c r="A551" s="342" t="s">
        <v>819</v>
      </c>
      <c r="B551" s="153" t="s">
        <v>82</v>
      </c>
      <c r="C551" s="153" t="s">
        <v>154</v>
      </c>
      <c r="D551" s="153" t="s">
        <v>153</v>
      </c>
      <c r="E551" s="160" t="s">
        <v>536</v>
      </c>
      <c r="F551" s="515"/>
      <c r="G551" s="377">
        <f>G552+G554</f>
        <v>0</v>
      </c>
      <c r="H551" s="737">
        <f>H552</f>
        <v>0</v>
      </c>
      <c r="I551" s="377">
        <f>I552+I554</f>
        <v>0</v>
      </c>
      <c r="J551" s="737">
        <f>J552</f>
        <v>0</v>
      </c>
      <c r="K551" s="680">
        <f t="shared" si="51"/>
        <v>0</v>
      </c>
      <c r="L551" s="680">
        <f t="shared" si="52"/>
        <v>0</v>
      </c>
    </row>
    <row r="552" spans="1:12" ht="72.75" hidden="1" customHeight="1">
      <c r="A552" s="668" t="s">
        <v>70</v>
      </c>
      <c r="B552" s="148">
        <v>936</v>
      </c>
      <c r="C552" s="149" t="s">
        <v>154</v>
      </c>
      <c r="D552" s="149" t="s">
        <v>153</v>
      </c>
      <c r="E552" s="155" t="s">
        <v>545</v>
      </c>
      <c r="F552" s="571"/>
      <c r="G552" s="163">
        <f>G553</f>
        <v>0</v>
      </c>
      <c r="H552" s="738">
        <f>H553</f>
        <v>0</v>
      </c>
      <c r="I552" s="163">
        <f>I553</f>
        <v>0</v>
      </c>
      <c r="J552" s="738">
        <f>J553</f>
        <v>0</v>
      </c>
      <c r="K552" s="680">
        <f t="shared" si="51"/>
        <v>0</v>
      </c>
      <c r="L552" s="680">
        <f t="shared" si="52"/>
        <v>0</v>
      </c>
    </row>
    <row r="553" spans="1:12" hidden="1">
      <c r="A553" s="48" t="s">
        <v>205</v>
      </c>
      <c r="B553" s="68" t="s">
        <v>82</v>
      </c>
      <c r="C553" s="68" t="s">
        <v>154</v>
      </c>
      <c r="D553" s="68" t="s">
        <v>153</v>
      </c>
      <c r="E553" s="68" t="s">
        <v>545</v>
      </c>
      <c r="F553" s="68" t="s">
        <v>202</v>
      </c>
      <c r="G553" s="119"/>
      <c r="H553" s="381">
        <f>G553</f>
        <v>0</v>
      </c>
      <c r="I553" s="119"/>
      <c r="J553" s="381">
        <f>I553</f>
        <v>0</v>
      </c>
      <c r="K553" s="680">
        <f t="shared" si="51"/>
        <v>0</v>
      </c>
      <c r="L553" s="680">
        <f t="shared" si="52"/>
        <v>0</v>
      </c>
    </row>
    <row r="554" spans="1:12" hidden="1">
      <c r="A554" s="48" t="s">
        <v>205</v>
      </c>
      <c r="B554" s="68" t="s">
        <v>82</v>
      </c>
      <c r="C554" s="68" t="s">
        <v>154</v>
      </c>
      <c r="D554" s="68" t="s">
        <v>153</v>
      </c>
      <c r="E554" s="139" t="s">
        <v>429</v>
      </c>
      <c r="F554" s="68" t="s">
        <v>202</v>
      </c>
      <c r="G554" s="119"/>
      <c r="H554" s="381"/>
      <c r="I554" s="119"/>
      <c r="J554" s="381"/>
      <c r="K554" s="680">
        <f t="shared" si="51"/>
        <v>0</v>
      </c>
      <c r="L554" s="680">
        <f t="shared" si="52"/>
        <v>0</v>
      </c>
    </row>
    <row r="555" spans="1:12">
      <c r="A555" s="269" t="s">
        <v>364</v>
      </c>
      <c r="B555" s="120" t="s">
        <v>82</v>
      </c>
      <c r="C555" s="271" t="s">
        <v>154</v>
      </c>
      <c r="D555" s="271" t="s">
        <v>155</v>
      </c>
      <c r="E555" s="271"/>
      <c r="F555" s="271"/>
      <c r="G555" s="94">
        <f>G556+G576</f>
        <v>27755.944159999999</v>
      </c>
      <c r="H555" s="94">
        <f>H556</f>
        <v>10916.6</v>
      </c>
      <c r="I555" s="94">
        <f>I556+I576</f>
        <v>30170.941159999998</v>
      </c>
      <c r="J555" s="94">
        <f>J556</f>
        <v>10916.6</v>
      </c>
      <c r="K555" s="680">
        <f t="shared" si="51"/>
        <v>-2414.9969999999994</v>
      </c>
      <c r="L555" s="680">
        <f t="shared" si="52"/>
        <v>0</v>
      </c>
    </row>
    <row r="556" spans="1:12" ht="47.25">
      <c r="A556" s="142" t="s">
        <v>946</v>
      </c>
      <c r="B556" s="120" t="s">
        <v>82</v>
      </c>
      <c r="C556" s="153" t="s">
        <v>154</v>
      </c>
      <c r="D556" s="153" t="s">
        <v>155</v>
      </c>
      <c r="E556" s="153" t="s">
        <v>581</v>
      </c>
      <c r="F556" s="153"/>
      <c r="G556" s="162">
        <f>G557+G573</f>
        <v>27755.944159999999</v>
      </c>
      <c r="H556" s="162">
        <f t="shared" ref="H556:J556" si="53">H557</f>
        <v>10916.6</v>
      </c>
      <c r="I556" s="162">
        <f>I557+I573</f>
        <v>30170.941159999998</v>
      </c>
      <c r="J556" s="162">
        <f t="shared" si="53"/>
        <v>10916.6</v>
      </c>
      <c r="K556" s="680">
        <f t="shared" si="51"/>
        <v>-2414.9969999999994</v>
      </c>
      <c r="L556" s="680">
        <f t="shared" si="52"/>
        <v>0</v>
      </c>
    </row>
    <row r="557" spans="1:12" ht="47.25">
      <c r="A557" s="147" t="s">
        <v>348</v>
      </c>
      <c r="B557" s="120" t="s">
        <v>82</v>
      </c>
      <c r="C557" s="155" t="s">
        <v>154</v>
      </c>
      <c r="D557" s="155" t="s">
        <v>155</v>
      </c>
      <c r="E557" s="155" t="s">
        <v>592</v>
      </c>
      <c r="F557" s="155"/>
      <c r="G557" s="163">
        <f>G558</f>
        <v>27755.944159999999</v>
      </c>
      <c r="H557" s="163">
        <f>H558</f>
        <v>10916.6</v>
      </c>
      <c r="I557" s="163">
        <f>I558</f>
        <v>30170.941159999998</v>
      </c>
      <c r="J557" s="163">
        <f>J558</f>
        <v>10916.6</v>
      </c>
      <c r="K557" s="680">
        <f t="shared" si="51"/>
        <v>-2414.9969999999994</v>
      </c>
      <c r="L557" s="680">
        <f t="shared" si="52"/>
        <v>0</v>
      </c>
    </row>
    <row r="558" spans="1:12" ht="56.25" customHeight="1">
      <c r="A558" s="147" t="s">
        <v>593</v>
      </c>
      <c r="B558" s="120" t="s">
        <v>82</v>
      </c>
      <c r="C558" s="155" t="s">
        <v>154</v>
      </c>
      <c r="D558" s="155" t="s">
        <v>155</v>
      </c>
      <c r="E558" s="155" t="s">
        <v>594</v>
      </c>
      <c r="F558" s="155"/>
      <c r="G558" s="163">
        <f>G559+G561+G564+G565+G567+G571+G569</f>
        <v>27755.944159999999</v>
      </c>
      <c r="H558" s="163">
        <f>H559+H561+H564+H565+H567+H571+H569</f>
        <v>10916.6</v>
      </c>
      <c r="I558" s="163">
        <f>I559+I561+I564+I565+I567+I571+I569</f>
        <v>30170.941159999998</v>
      </c>
      <c r="J558" s="163">
        <f>J559+J561+J564+J565+J567+J571+J569</f>
        <v>10916.6</v>
      </c>
      <c r="K558" s="680">
        <f t="shared" si="51"/>
        <v>-2414.9969999999994</v>
      </c>
      <c r="L558" s="680">
        <f t="shared" si="52"/>
        <v>0</v>
      </c>
    </row>
    <row r="559" spans="1:12" ht="31.5">
      <c r="A559" s="122" t="s">
        <v>125</v>
      </c>
      <c r="B559" s="120" t="s">
        <v>82</v>
      </c>
      <c r="C559" s="129" t="s">
        <v>154</v>
      </c>
      <c r="D559" s="129" t="s">
        <v>155</v>
      </c>
      <c r="E559" s="120" t="s">
        <v>595</v>
      </c>
      <c r="F559" s="129"/>
      <c r="G559" s="93">
        <f>G560</f>
        <v>10916.6</v>
      </c>
      <c r="H559" s="93">
        <f>H560</f>
        <v>10916.6</v>
      </c>
      <c r="I559" s="93">
        <f>I560</f>
        <v>10916.6</v>
      </c>
      <c r="J559" s="93">
        <f>J560</f>
        <v>10916.6</v>
      </c>
      <c r="K559" s="680">
        <f t="shared" si="51"/>
        <v>0</v>
      </c>
      <c r="L559" s="680">
        <f t="shared" si="52"/>
        <v>0</v>
      </c>
    </row>
    <row r="560" spans="1:12">
      <c r="A560" s="138" t="s">
        <v>205</v>
      </c>
      <c r="B560" s="120" t="s">
        <v>82</v>
      </c>
      <c r="C560" s="120" t="s">
        <v>154</v>
      </c>
      <c r="D560" s="120" t="s">
        <v>155</v>
      </c>
      <c r="E560" s="120" t="s">
        <v>595</v>
      </c>
      <c r="F560" s="120" t="s">
        <v>202</v>
      </c>
      <c r="G560" s="119">
        <v>10916.6</v>
      </c>
      <c r="H560" s="739">
        <f>G560</f>
        <v>10916.6</v>
      </c>
      <c r="I560" s="119">
        <v>10916.6</v>
      </c>
      <c r="J560" s="739">
        <f>I560</f>
        <v>10916.6</v>
      </c>
      <c r="K560" s="680">
        <f t="shared" si="51"/>
        <v>0</v>
      </c>
      <c r="L560" s="680">
        <f t="shared" si="52"/>
        <v>0</v>
      </c>
    </row>
    <row r="561" spans="1:12" ht="47.25">
      <c r="A561" s="122" t="s">
        <v>491</v>
      </c>
      <c r="B561" s="120" t="s">
        <v>82</v>
      </c>
      <c r="C561" s="129" t="s">
        <v>154</v>
      </c>
      <c r="D561" s="129" t="s">
        <v>155</v>
      </c>
      <c r="E561" s="120" t="s">
        <v>595</v>
      </c>
      <c r="F561" s="129"/>
      <c r="G561" s="93">
        <f>G562</f>
        <v>10076.9</v>
      </c>
      <c r="H561" s="93">
        <f>H562</f>
        <v>0</v>
      </c>
      <c r="I561" s="93">
        <f>I562</f>
        <v>12920.5</v>
      </c>
      <c r="J561" s="93">
        <f>J562</f>
        <v>0</v>
      </c>
      <c r="K561" s="680">
        <f t="shared" si="51"/>
        <v>-2843.6000000000004</v>
      </c>
      <c r="L561" s="680">
        <f t="shared" si="52"/>
        <v>0</v>
      </c>
    </row>
    <row r="562" spans="1:12">
      <c r="A562" s="138" t="s">
        <v>205</v>
      </c>
      <c r="B562" s="120" t="s">
        <v>82</v>
      </c>
      <c r="C562" s="120" t="s">
        <v>154</v>
      </c>
      <c r="D562" s="120" t="s">
        <v>155</v>
      </c>
      <c r="E562" s="120" t="s">
        <v>595</v>
      </c>
      <c r="F562" s="120" t="s">
        <v>202</v>
      </c>
      <c r="G562" s="119">
        <v>10076.9</v>
      </c>
      <c r="H562" s="739">
        <v>0</v>
      </c>
      <c r="I562" s="119">
        <v>12920.5</v>
      </c>
      <c r="J562" s="739">
        <v>0</v>
      </c>
      <c r="K562" s="680">
        <f t="shared" si="51"/>
        <v>-2843.6000000000004</v>
      </c>
      <c r="L562" s="680">
        <f t="shared" si="52"/>
        <v>0</v>
      </c>
    </row>
    <row r="563" spans="1:12" ht="31.5">
      <c r="A563" s="173" t="s">
        <v>292</v>
      </c>
      <c r="B563" s="120" t="s">
        <v>82</v>
      </c>
      <c r="C563" s="120" t="s">
        <v>154</v>
      </c>
      <c r="D563" s="120" t="s">
        <v>155</v>
      </c>
      <c r="E563" s="120" t="s">
        <v>596</v>
      </c>
      <c r="F563" s="120"/>
      <c r="G563" s="119">
        <f>G564</f>
        <v>6333.8411599999999</v>
      </c>
      <c r="H563" s="739">
        <v>0</v>
      </c>
      <c r="I563" s="119">
        <f>I564</f>
        <v>6333.8411599999999</v>
      </c>
      <c r="J563" s="739">
        <v>0</v>
      </c>
      <c r="K563" s="680">
        <f t="shared" si="51"/>
        <v>0</v>
      </c>
      <c r="L563" s="680">
        <f t="shared" si="52"/>
        <v>0</v>
      </c>
    </row>
    <row r="564" spans="1:12" ht="47.25">
      <c r="A564" s="138" t="s">
        <v>204</v>
      </c>
      <c r="B564" s="120" t="s">
        <v>82</v>
      </c>
      <c r="C564" s="120" t="s">
        <v>154</v>
      </c>
      <c r="D564" s="120" t="s">
        <v>155</v>
      </c>
      <c r="E564" s="120" t="s">
        <v>596</v>
      </c>
      <c r="F564" s="120" t="s">
        <v>319</v>
      </c>
      <c r="G564" s="119">
        <v>6333.8411599999999</v>
      </c>
      <c r="H564" s="739">
        <v>0</v>
      </c>
      <c r="I564" s="119">
        <v>6333.8411599999999</v>
      </c>
      <c r="J564" s="739">
        <v>0</v>
      </c>
      <c r="K564" s="680">
        <f t="shared" si="51"/>
        <v>0</v>
      </c>
      <c r="L564" s="680">
        <f t="shared" si="52"/>
        <v>0</v>
      </c>
    </row>
    <row r="565" spans="1:12">
      <c r="A565" s="441" t="s">
        <v>1260</v>
      </c>
      <c r="B565" s="813" t="s">
        <v>82</v>
      </c>
      <c r="C565" s="813" t="s">
        <v>154</v>
      </c>
      <c r="D565" s="813" t="s">
        <v>155</v>
      </c>
      <c r="E565" s="813" t="s">
        <v>1261</v>
      </c>
      <c r="F565" s="813"/>
      <c r="G565" s="119">
        <f>G566</f>
        <v>0</v>
      </c>
      <c r="H565" s="739">
        <f>H566</f>
        <v>0</v>
      </c>
      <c r="I565" s="119">
        <f>I566</f>
        <v>0</v>
      </c>
      <c r="J565" s="739">
        <f>J566</f>
        <v>0</v>
      </c>
      <c r="K565" s="680">
        <f t="shared" si="51"/>
        <v>0</v>
      </c>
      <c r="L565" s="680">
        <f t="shared" si="52"/>
        <v>0</v>
      </c>
    </row>
    <row r="566" spans="1:12">
      <c r="A566" s="441" t="s">
        <v>205</v>
      </c>
      <c r="B566" s="813" t="s">
        <v>82</v>
      </c>
      <c r="C566" s="813" t="s">
        <v>154</v>
      </c>
      <c r="D566" s="813" t="s">
        <v>155</v>
      </c>
      <c r="E566" s="813" t="s">
        <v>1261</v>
      </c>
      <c r="F566" s="813" t="s">
        <v>202</v>
      </c>
      <c r="G566" s="119">
        <f>618.6-618.6</f>
        <v>0</v>
      </c>
      <c r="H566" s="739">
        <f>G566</f>
        <v>0</v>
      </c>
      <c r="I566" s="119">
        <f>618.6-618.6</f>
        <v>0</v>
      </c>
      <c r="J566" s="739">
        <f>I566</f>
        <v>0</v>
      </c>
      <c r="K566" s="680">
        <f t="shared" si="51"/>
        <v>0</v>
      </c>
      <c r="L566" s="680">
        <f t="shared" si="52"/>
        <v>0</v>
      </c>
    </row>
    <row r="567" spans="1:12" ht="31.5">
      <c r="A567" s="441" t="s">
        <v>1262</v>
      </c>
      <c r="B567" s="813" t="s">
        <v>82</v>
      </c>
      <c r="C567" s="813" t="s">
        <v>154</v>
      </c>
      <c r="D567" s="813" t="s">
        <v>155</v>
      </c>
      <c r="E567" s="813" t="s">
        <v>1261</v>
      </c>
      <c r="F567" s="813"/>
      <c r="G567" s="119">
        <f>G568</f>
        <v>428.60300000000001</v>
      </c>
      <c r="H567" s="739">
        <f>H568</f>
        <v>0</v>
      </c>
      <c r="I567" s="119">
        <f>I568</f>
        <v>0</v>
      </c>
      <c r="J567" s="739">
        <f>J568</f>
        <v>0</v>
      </c>
      <c r="K567" s="680">
        <f t="shared" si="51"/>
        <v>428.60300000000001</v>
      </c>
      <c r="L567" s="680">
        <f t="shared" si="52"/>
        <v>0</v>
      </c>
    </row>
    <row r="568" spans="1:12">
      <c r="A568" s="441" t="s">
        <v>205</v>
      </c>
      <c r="B568" s="813" t="s">
        <v>82</v>
      </c>
      <c r="C568" s="813" t="s">
        <v>154</v>
      </c>
      <c r="D568" s="813" t="s">
        <v>155</v>
      </c>
      <c r="E568" s="813" t="s">
        <v>1261</v>
      </c>
      <c r="F568" s="813" t="s">
        <v>202</v>
      </c>
      <c r="G568" s="119">
        <v>428.60300000000001</v>
      </c>
      <c r="H568" s="739">
        <v>0</v>
      </c>
      <c r="I568" s="119">
        <f>12.62449-12.62449</f>
        <v>0</v>
      </c>
      <c r="J568" s="739">
        <v>0</v>
      </c>
      <c r="K568" s="680">
        <f t="shared" si="51"/>
        <v>428.60300000000001</v>
      </c>
      <c r="L568" s="680">
        <f t="shared" si="52"/>
        <v>0</v>
      </c>
    </row>
    <row r="569" spans="1:12" ht="63" hidden="1">
      <c r="A569" s="46" t="s">
        <v>570</v>
      </c>
      <c r="B569" s="120" t="s">
        <v>82</v>
      </c>
      <c r="C569" s="120" t="s">
        <v>154</v>
      </c>
      <c r="D569" s="120" t="s">
        <v>155</v>
      </c>
      <c r="E569" s="120" t="s">
        <v>718</v>
      </c>
      <c r="F569" s="120"/>
      <c r="G569" s="119">
        <f>G570</f>
        <v>0</v>
      </c>
      <c r="H569" s="739">
        <f>H570</f>
        <v>0</v>
      </c>
      <c r="I569" s="119">
        <f>I570</f>
        <v>0</v>
      </c>
      <c r="J569" s="739">
        <f>J570</f>
        <v>0</v>
      </c>
      <c r="K569" s="680">
        <f t="shared" si="51"/>
        <v>0</v>
      </c>
      <c r="L569" s="680">
        <f t="shared" si="52"/>
        <v>0</v>
      </c>
    </row>
    <row r="570" spans="1:12" ht="26.25" hidden="1" customHeight="1">
      <c r="A570" s="138" t="s">
        <v>205</v>
      </c>
      <c r="B570" s="120" t="s">
        <v>82</v>
      </c>
      <c r="C570" s="120" t="s">
        <v>154</v>
      </c>
      <c r="D570" s="120" t="s">
        <v>155</v>
      </c>
      <c r="E570" s="120" t="s">
        <v>718</v>
      </c>
      <c r="F570" s="120" t="s">
        <v>202</v>
      </c>
      <c r="G570" s="119"/>
      <c r="H570" s="739">
        <f>G570</f>
        <v>0</v>
      </c>
      <c r="I570" s="119"/>
      <c r="J570" s="739">
        <f>I570</f>
        <v>0</v>
      </c>
      <c r="K570" s="680">
        <f t="shared" si="51"/>
        <v>0</v>
      </c>
      <c r="L570" s="680">
        <f t="shared" si="52"/>
        <v>0</v>
      </c>
    </row>
    <row r="571" spans="1:12" ht="47.25" hidden="1">
      <c r="A571" s="138" t="s">
        <v>556</v>
      </c>
      <c r="B571" s="120" t="s">
        <v>82</v>
      </c>
      <c r="C571" s="120" t="s">
        <v>154</v>
      </c>
      <c r="D571" s="120" t="s">
        <v>155</v>
      </c>
      <c r="E571" s="172" t="s">
        <v>562</v>
      </c>
      <c r="F571" s="120"/>
      <c r="G571" s="119">
        <f>G572</f>
        <v>0</v>
      </c>
      <c r="H571" s="739">
        <f>H572</f>
        <v>0</v>
      </c>
      <c r="I571" s="119">
        <f>I572</f>
        <v>0</v>
      </c>
      <c r="J571" s="739">
        <f>J572</f>
        <v>0</v>
      </c>
      <c r="K571" s="680">
        <f t="shared" si="51"/>
        <v>0</v>
      </c>
      <c r="L571" s="680">
        <f t="shared" si="52"/>
        <v>0</v>
      </c>
    </row>
    <row r="572" spans="1:12" hidden="1">
      <c r="A572" s="138" t="s">
        <v>205</v>
      </c>
      <c r="B572" s="120" t="s">
        <v>82</v>
      </c>
      <c r="C572" s="120" t="s">
        <v>154</v>
      </c>
      <c r="D572" s="120" t="s">
        <v>155</v>
      </c>
      <c r="E572" s="172" t="s">
        <v>562</v>
      </c>
      <c r="F572" s="120" t="s">
        <v>202</v>
      </c>
      <c r="G572" s="119">
        <f>17500-17500</f>
        <v>0</v>
      </c>
      <c r="H572" s="739">
        <f>G572</f>
        <v>0</v>
      </c>
      <c r="I572" s="119">
        <f>17500-17500</f>
        <v>0</v>
      </c>
      <c r="J572" s="739">
        <f>I572</f>
        <v>0</v>
      </c>
      <c r="K572" s="680">
        <f t="shared" si="51"/>
        <v>0</v>
      </c>
      <c r="L572" s="680">
        <f t="shared" si="52"/>
        <v>0</v>
      </c>
    </row>
    <row r="573" spans="1:12" ht="47.25" hidden="1">
      <c r="A573" s="564" t="s">
        <v>1008</v>
      </c>
      <c r="B573" s="155" t="s">
        <v>82</v>
      </c>
      <c r="C573" s="155" t="s">
        <v>154</v>
      </c>
      <c r="D573" s="155" t="s">
        <v>155</v>
      </c>
      <c r="E573" s="158" t="s">
        <v>715</v>
      </c>
      <c r="F573" s="155"/>
      <c r="G573" s="163">
        <f>G574</f>
        <v>0</v>
      </c>
      <c r="H573" s="738">
        <v>0</v>
      </c>
      <c r="I573" s="163">
        <f>I574</f>
        <v>0</v>
      </c>
      <c r="J573" s="738">
        <v>0</v>
      </c>
      <c r="K573" s="680">
        <f t="shared" si="51"/>
        <v>0</v>
      </c>
      <c r="L573" s="680">
        <f t="shared" si="52"/>
        <v>0</v>
      </c>
    </row>
    <row r="574" spans="1:12" ht="31.5" hidden="1">
      <c r="A574" s="564" t="s">
        <v>721</v>
      </c>
      <c r="B574" s="155" t="s">
        <v>82</v>
      </c>
      <c r="C574" s="155" t="s">
        <v>154</v>
      </c>
      <c r="D574" s="155" t="s">
        <v>155</v>
      </c>
      <c r="E574" s="158" t="s">
        <v>712</v>
      </c>
      <c r="F574" s="155"/>
      <c r="G574" s="163">
        <f>G575</f>
        <v>0</v>
      </c>
      <c r="H574" s="738">
        <v>0</v>
      </c>
      <c r="I574" s="163">
        <f>I575</f>
        <v>0</v>
      </c>
      <c r="J574" s="738">
        <v>0</v>
      </c>
      <c r="K574" s="680">
        <f t="shared" si="51"/>
        <v>0</v>
      </c>
      <c r="L574" s="680">
        <f t="shared" si="52"/>
        <v>0</v>
      </c>
    </row>
    <row r="575" spans="1:12" hidden="1">
      <c r="A575" s="138" t="s">
        <v>205</v>
      </c>
      <c r="B575" s="120" t="s">
        <v>82</v>
      </c>
      <c r="C575" s="120" t="s">
        <v>154</v>
      </c>
      <c r="D575" s="120" t="s">
        <v>155</v>
      </c>
      <c r="E575" s="172" t="s">
        <v>800</v>
      </c>
      <c r="F575" s="120" t="s">
        <v>202</v>
      </c>
      <c r="G575" s="119"/>
      <c r="H575" s="739">
        <v>0</v>
      </c>
      <c r="I575" s="119"/>
      <c r="J575" s="739">
        <v>0</v>
      </c>
      <c r="K575" s="680">
        <f t="shared" si="51"/>
        <v>0</v>
      </c>
      <c r="L575" s="680">
        <f t="shared" si="52"/>
        <v>0</v>
      </c>
    </row>
    <row r="576" spans="1:12" ht="31.5" hidden="1">
      <c r="A576" s="496" t="s">
        <v>777</v>
      </c>
      <c r="B576" s="515" t="s">
        <v>82</v>
      </c>
      <c r="C576" s="515" t="s">
        <v>154</v>
      </c>
      <c r="D576" s="515" t="s">
        <v>155</v>
      </c>
      <c r="E576" s="515" t="s">
        <v>783</v>
      </c>
      <c r="F576" s="515"/>
      <c r="G576" s="377">
        <f>G577</f>
        <v>0</v>
      </c>
      <c r="H576" s="737">
        <v>0</v>
      </c>
      <c r="I576" s="377">
        <f>I577</f>
        <v>0</v>
      </c>
      <c r="J576" s="737">
        <v>0</v>
      </c>
      <c r="K576" s="680">
        <f t="shared" si="51"/>
        <v>0</v>
      </c>
      <c r="L576" s="680">
        <f t="shared" si="52"/>
        <v>0</v>
      </c>
    </row>
    <row r="577" spans="1:12" ht="26.25" hidden="1">
      <c r="A577" s="462" t="s">
        <v>785</v>
      </c>
      <c r="B577" s="68" t="s">
        <v>82</v>
      </c>
      <c r="C577" s="68" t="s">
        <v>154</v>
      </c>
      <c r="D577" s="68" t="s">
        <v>155</v>
      </c>
      <c r="E577" s="172" t="s">
        <v>784</v>
      </c>
      <c r="F577" s="172"/>
      <c r="G577" s="119">
        <f>G578</f>
        <v>0</v>
      </c>
      <c r="H577" s="739">
        <v>0</v>
      </c>
      <c r="I577" s="119">
        <f>I578</f>
        <v>0</v>
      </c>
      <c r="J577" s="739">
        <v>0</v>
      </c>
      <c r="K577" s="680">
        <f t="shared" si="51"/>
        <v>0</v>
      </c>
      <c r="L577" s="680">
        <f t="shared" si="52"/>
        <v>0</v>
      </c>
    </row>
    <row r="578" spans="1:12" hidden="1">
      <c r="A578" s="48" t="s">
        <v>378</v>
      </c>
      <c r="B578" s="68" t="s">
        <v>82</v>
      </c>
      <c r="C578" s="68" t="s">
        <v>154</v>
      </c>
      <c r="D578" s="68" t="s">
        <v>155</v>
      </c>
      <c r="E578" s="172" t="s">
        <v>784</v>
      </c>
      <c r="F578" s="172" t="s">
        <v>202</v>
      </c>
      <c r="G578" s="119">
        <v>0</v>
      </c>
      <c r="H578" s="739">
        <v>0</v>
      </c>
      <c r="I578" s="119">
        <v>0</v>
      </c>
      <c r="J578" s="739">
        <v>0</v>
      </c>
      <c r="K578" s="680">
        <f t="shared" si="51"/>
        <v>0</v>
      </c>
      <c r="L578" s="680">
        <f t="shared" si="52"/>
        <v>0</v>
      </c>
    </row>
    <row r="579" spans="1:12" s="130" customFormat="1">
      <c r="A579" s="272" t="s">
        <v>300</v>
      </c>
      <c r="B579" s="120" t="s">
        <v>82</v>
      </c>
      <c r="C579" s="215" t="s">
        <v>154</v>
      </c>
      <c r="D579" s="215" t="s">
        <v>154</v>
      </c>
      <c r="E579" s="215"/>
      <c r="F579" s="215"/>
      <c r="G579" s="273">
        <f>G580+G604+G601+G607</f>
        <v>11703.8</v>
      </c>
      <c r="H579" s="273">
        <f>H580+H604+H601</f>
        <v>7781.8</v>
      </c>
      <c r="I579" s="273">
        <f>I580+I604+I601+I607</f>
        <v>11703.8</v>
      </c>
      <c r="J579" s="273">
        <f>J580+J604+J601</f>
        <v>7781.8</v>
      </c>
      <c r="K579" s="680">
        <f t="shared" si="51"/>
        <v>0</v>
      </c>
      <c r="L579" s="680">
        <f t="shared" si="52"/>
        <v>0</v>
      </c>
    </row>
    <row r="580" spans="1:12" s="63" customFormat="1" ht="47.25">
      <c r="A580" s="496" t="s">
        <v>946</v>
      </c>
      <c r="B580" s="271" t="s">
        <v>82</v>
      </c>
      <c r="C580" s="515" t="s">
        <v>154</v>
      </c>
      <c r="D580" s="515" t="s">
        <v>154</v>
      </c>
      <c r="E580" s="515" t="s">
        <v>581</v>
      </c>
      <c r="F580" s="515"/>
      <c r="G580" s="377">
        <f t="shared" ref="G580:J581" si="54">G581</f>
        <v>10303.799999999999</v>
      </c>
      <c r="H580" s="377">
        <f t="shared" si="54"/>
        <v>7781.8</v>
      </c>
      <c r="I580" s="377">
        <f t="shared" si="54"/>
        <v>10303.799999999999</v>
      </c>
      <c r="J580" s="377">
        <f t="shared" si="54"/>
        <v>7781.8</v>
      </c>
      <c r="K580" s="680">
        <f t="shared" si="51"/>
        <v>0</v>
      </c>
      <c r="L580" s="680">
        <f t="shared" si="52"/>
        <v>0</v>
      </c>
    </row>
    <row r="581" spans="1:12" s="63" customFormat="1" ht="31.5">
      <c r="A581" s="147" t="s">
        <v>347</v>
      </c>
      <c r="B581" s="120" t="s">
        <v>82</v>
      </c>
      <c r="C581" s="149" t="s">
        <v>154</v>
      </c>
      <c r="D581" s="149" t="s">
        <v>154</v>
      </c>
      <c r="E581" s="149" t="s">
        <v>597</v>
      </c>
      <c r="F581" s="149"/>
      <c r="G581" s="150">
        <f>G582</f>
        <v>10303.799999999999</v>
      </c>
      <c r="H581" s="150">
        <f t="shared" si="54"/>
        <v>7781.8</v>
      </c>
      <c r="I581" s="150">
        <f>I582</f>
        <v>10303.799999999999</v>
      </c>
      <c r="J581" s="150">
        <f t="shared" si="54"/>
        <v>7781.8</v>
      </c>
      <c r="K581" s="680">
        <f t="shared" si="51"/>
        <v>0</v>
      </c>
      <c r="L581" s="680">
        <f t="shared" si="52"/>
        <v>0</v>
      </c>
    </row>
    <row r="582" spans="1:12" s="63" customFormat="1" ht="31.5">
      <c r="A582" s="147" t="s">
        <v>591</v>
      </c>
      <c r="B582" s="120" t="s">
        <v>82</v>
      </c>
      <c r="C582" s="149" t="s">
        <v>154</v>
      </c>
      <c r="D582" s="149" t="s">
        <v>154</v>
      </c>
      <c r="E582" s="149" t="s">
        <v>598</v>
      </c>
      <c r="F582" s="149"/>
      <c r="G582" s="150">
        <f>G583+G586+G589+G592+G597+G595+G584</f>
        <v>10303.799999999999</v>
      </c>
      <c r="H582" s="150">
        <f>H583+H586+H589+H592+H597+H595+H584</f>
        <v>7781.8</v>
      </c>
      <c r="I582" s="150">
        <f>I583+I586+I589+I592+I597+I595+I584</f>
        <v>10303.799999999999</v>
      </c>
      <c r="J582" s="150">
        <f>J583+J586+J589+J592+J597+J595+J584</f>
        <v>7781.8</v>
      </c>
      <c r="K582" s="680">
        <f t="shared" si="51"/>
        <v>0</v>
      </c>
      <c r="L582" s="680">
        <f t="shared" si="52"/>
        <v>0</v>
      </c>
    </row>
    <row r="583" spans="1:12" ht="47.25">
      <c r="A583" s="48" t="s">
        <v>268</v>
      </c>
      <c r="B583" s="120" t="s">
        <v>82</v>
      </c>
      <c r="C583" s="68" t="s">
        <v>154</v>
      </c>
      <c r="D583" s="68" t="s">
        <v>154</v>
      </c>
      <c r="E583" s="172" t="s">
        <v>599</v>
      </c>
      <c r="F583" s="68" t="s">
        <v>320</v>
      </c>
      <c r="G583" s="81">
        <f>4515.8-1400-593.8</f>
        <v>2522</v>
      </c>
      <c r="H583" s="735">
        <v>0</v>
      </c>
      <c r="I583" s="81">
        <f>4515.8-1400-593.8</f>
        <v>2522</v>
      </c>
      <c r="J583" s="735">
        <v>0</v>
      </c>
      <c r="K583" s="680">
        <f t="shared" si="51"/>
        <v>0</v>
      </c>
      <c r="L583" s="680">
        <f t="shared" si="52"/>
        <v>0</v>
      </c>
    </row>
    <row r="584" spans="1:12" ht="63" hidden="1">
      <c r="A584" s="46" t="s">
        <v>570</v>
      </c>
      <c r="B584" s="120" t="s">
        <v>82</v>
      </c>
      <c r="C584" s="120" t="s">
        <v>154</v>
      </c>
      <c r="D584" s="120" t="s">
        <v>154</v>
      </c>
      <c r="E584" s="120" t="s">
        <v>1044</v>
      </c>
      <c r="F584" s="68"/>
      <c r="G584" s="81">
        <f>G585</f>
        <v>0</v>
      </c>
      <c r="H584" s="735">
        <f>H585</f>
        <v>0</v>
      </c>
      <c r="I584" s="81">
        <f>I585</f>
        <v>0</v>
      </c>
      <c r="J584" s="735">
        <f>J585</f>
        <v>0</v>
      </c>
      <c r="K584" s="680">
        <f t="shared" si="51"/>
        <v>0</v>
      </c>
      <c r="L584" s="680">
        <f t="shared" si="52"/>
        <v>0</v>
      </c>
    </row>
    <row r="585" spans="1:12" hidden="1">
      <c r="A585" s="138" t="s">
        <v>269</v>
      </c>
      <c r="B585" s="120" t="s">
        <v>82</v>
      </c>
      <c r="C585" s="120" t="s">
        <v>154</v>
      </c>
      <c r="D585" s="120" t="s">
        <v>154</v>
      </c>
      <c r="E585" s="120" t="s">
        <v>1044</v>
      </c>
      <c r="F585" s="68" t="s">
        <v>270</v>
      </c>
      <c r="G585" s="81"/>
      <c r="H585" s="735">
        <f>G585</f>
        <v>0</v>
      </c>
      <c r="I585" s="81"/>
      <c r="J585" s="735">
        <f>I585</f>
        <v>0</v>
      </c>
      <c r="K585" s="680">
        <f t="shared" si="51"/>
        <v>0</v>
      </c>
      <c r="L585" s="680">
        <f t="shared" si="52"/>
        <v>0</v>
      </c>
    </row>
    <row r="586" spans="1:12" ht="156.75" customHeight="1">
      <c r="A586" s="49" t="s">
        <v>499</v>
      </c>
      <c r="B586" s="120" t="s">
        <v>82</v>
      </c>
      <c r="C586" s="67" t="s">
        <v>154</v>
      </c>
      <c r="D586" s="67" t="s">
        <v>154</v>
      </c>
      <c r="E586" s="68" t="s">
        <v>600</v>
      </c>
      <c r="F586" s="67"/>
      <c r="G586" s="80">
        <f>G587+G588</f>
        <v>3247.2</v>
      </c>
      <c r="H586" s="80">
        <f>H587+H588</f>
        <v>3247.2</v>
      </c>
      <c r="I586" s="80">
        <f>I587+I588</f>
        <v>3247.2</v>
      </c>
      <c r="J586" s="80">
        <f>J587+J588</f>
        <v>3247.2</v>
      </c>
      <c r="K586" s="680">
        <f t="shared" si="51"/>
        <v>0</v>
      </c>
      <c r="L586" s="680">
        <f t="shared" si="52"/>
        <v>0</v>
      </c>
    </row>
    <row r="587" spans="1:12" ht="31.5" hidden="1">
      <c r="A587" s="49" t="s">
        <v>340</v>
      </c>
      <c r="B587" s="120" t="s">
        <v>82</v>
      </c>
      <c r="C587" s="68" t="s">
        <v>154</v>
      </c>
      <c r="D587" s="68" t="s">
        <v>154</v>
      </c>
      <c r="E587" s="68" t="s">
        <v>600</v>
      </c>
      <c r="F587" s="68" t="s">
        <v>273</v>
      </c>
      <c r="G587" s="81"/>
      <c r="H587" s="81">
        <f>G587</f>
        <v>0</v>
      </c>
      <c r="I587" s="81"/>
      <c r="J587" s="81">
        <f>I587</f>
        <v>0</v>
      </c>
      <c r="K587" s="680">
        <f t="shared" si="51"/>
        <v>0</v>
      </c>
      <c r="L587" s="680">
        <f t="shared" si="52"/>
        <v>0</v>
      </c>
    </row>
    <row r="588" spans="1:12">
      <c r="A588" s="48" t="s">
        <v>205</v>
      </c>
      <c r="B588" s="120" t="s">
        <v>82</v>
      </c>
      <c r="C588" s="68" t="s">
        <v>154</v>
      </c>
      <c r="D588" s="68" t="s">
        <v>154</v>
      </c>
      <c r="E588" s="68" t="s">
        <v>600</v>
      </c>
      <c r="F588" s="68" t="s">
        <v>202</v>
      </c>
      <c r="G588" s="81">
        <v>3247.2</v>
      </c>
      <c r="H588" s="81">
        <f>G588</f>
        <v>3247.2</v>
      </c>
      <c r="I588" s="81">
        <v>3247.2</v>
      </c>
      <c r="J588" s="81">
        <f>I588</f>
        <v>3247.2</v>
      </c>
      <c r="K588" s="680">
        <f t="shared" si="51"/>
        <v>0</v>
      </c>
      <c r="L588" s="680">
        <f t="shared" si="52"/>
        <v>0</v>
      </c>
    </row>
    <row r="589" spans="1:12" ht="148.5" hidden="1" customHeight="1">
      <c r="A589" s="49" t="s">
        <v>534</v>
      </c>
      <c r="B589" s="120" t="s">
        <v>82</v>
      </c>
      <c r="C589" s="68" t="s">
        <v>154</v>
      </c>
      <c r="D589" s="68" t="s">
        <v>154</v>
      </c>
      <c r="E589" s="68" t="s">
        <v>600</v>
      </c>
      <c r="F589" s="68"/>
      <c r="G589" s="81">
        <f>G591+G590</f>
        <v>0</v>
      </c>
      <c r="H589" s="81">
        <f>H591</f>
        <v>0</v>
      </c>
      <c r="I589" s="81">
        <f>I591+I590</f>
        <v>0</v>
      </c>
      <c r="J589" s="81">
        <f>J591</f>
        <v>0</v>
      </c>
      <c r="K589" s="680">
        <f t="shared" si="51"/>
        <v>0</v>
      </c>
      <c r="L589" s="680">
        <f t="shared" si="52"/>
        <v>0</v>
      </c>
    </row>
    <row r="590" spans="1:12" ht="41.25" hidden="1" customHeight="1">
      <c r="A590" s="49" t="s">
        <v>340</v>
      </c>
      <c r="B590" s="120" t="s">
        <v>82</v>
      </c>
      <c r="C590" s="68" t="s">
        <v>154</v>
      </c>
      <c r="D590" s="68" t="s">
        <v>154</v>
      </c>
      <c r="E590" s="68" t="s">
        <v>600</v>
      </c>
      <c r="F590" s="68" t="s">
        <v>273</v>
      </c>
      <c r="G590" s="81"/>
      <c r="H590" s="81">
        <v>0</v>
      </c>
      <c r="I590" s="81"/>
      <c r="J590" s="81">
        <v>0</v>
      </c>
      <c r="K590" s="680">
        <f t="shared" si="51"/>
        <v>0</v>
      </c>
      <c r="L590" s="680">
        <f t="shared" si="52"/>
        <v>0</v>
      </c>
    </row>
    <row r="591" spans="1:12" hidden="1">
      <c r="A591" s="48" t="s">
        <v>205</v>
      </c>
      <c r="B591" s="120" t="s">
        <v>82</v>
      </c>
      <c r="C591" s="68" t="s">
        <v>154</v>
      </c>
      <c r="D591" s="68" t="s">
        <v>154</v>
      </c>
      <c r="E591" s="68" t="s">
        <v>600</v>
      </c>
      <c r="F591" s="68" t="s">
        <v>202</v>
      </c>
      <c r="G591" s="81"/>
      <c r="H591" s="81">
        <v>0</v>
      </c>
      <c r="I591" s="81"/>
      <c r="J591" s="81">
        <v>0</v>
      </c>
      <c r="K591" s="680">
        <f t="shared" si="51"/>
        <v>0</v>
      </c>
      <c r="L591" s="680">
        <f t="shared" si="52"/>
        <v>0</v>
      </c>
    </row>
    <row r="592" spans="1:12" s="63" customFormat="1" ht="31.5">
      <c r="A592" s="49" t="s">
        <v>568</v>
      </c>
      <c r="B592" s="120" t="s">
        <v>82</v>
      </c>
      <c r="C592" s="67" t="s">
        <v>154</v>
      </c>
      <c r="D592" s="67" t="s">
        <v>154</v>
      </c>
      <c r="E592" s="67" t="s">
        <v>601</v>
      </c>
      <c r="F592" s="67"/>
      <c r="G592" s="80">
        <f>G593+G594</f>
        <v>4467.6000000000004</v>
      </c>
      <c r="H592" s="80">
        <f>H593+H594</f>
        <v>4467.6000000000004</v>
      </c>
      <c r="I592" s="80">
        <f>I593+I594</f>
        <v>4467.6000000000004</v>
      </c>
      <c r="J592" s="80">
        <f>J593+J594</f>
        <v>4467.6000000000004</v>
      </c>
      <c r="K592" s="680">
        <f t="shared" si="51"/>
        <v>0</v>
      </c>
      <c r="L592" s="680">
        <f t="shared" si="52"/>
        <v>0</v>
      </c>
    </row>
    <row r="593" spans="1:12" ht="31.5" hidden="1">
      <c r="A593" s="49" t="s">
        <v>340</v>
      </c>
      <c r="B593" s="120" t="s">
        <v>82</v>
      </c>
      <c r="C593" s="68" t="s">
        <v>154</v>
      </c>
      <c r="D593" s="68" t="s">
        <v>154</v>
      </c>
      <c r="E593" s="68" t="s">
        <v>601</v>
      </c>
      <c r="F593" s="68" t="s">
        <v>273</v>
      </c>
      <c r="G593" s="81"/>
      <c r="H593" s="735">
        <f>G593</f>
        <v>0</v>
      </c>
      <c r="I593" s="81"/>
      <c r="J593" s="735">
        <f>I593</f>
        <v>0</v>
      </c>
      <c r="K593" s="680">
        <f t="shared" si="51"/>
        <v>0</v>
      </c>
      <c r="L593" s="680">
        <f t="shared" si="52"/>
        <v>0</v>
      </c>
    </row>
    <row r="594" spans="1:12">
      <c r="A594" s="48" t="s">
        <v>205</v>
      </c>
      <c r="B594" s="120" t="s">
        <v>82</v>
      </c>
      <c r="C594" s="68" t="s">
        <v>154</v>
      </c>
      <c r="D594" s="68" t="s">
        <v>154</v>
      </c>
      <c r="E594" s="68" t="s">
        <v>601</v>
      </c>
      <c r="F594" s="68" t="s">
        <v>202</v>
      </c>
      <c r="G594" s="81">
        <v>4467.6000000000004</v>
      </c>
      <c r="H594" s="735">
        <f>G594</f>
        <v>4467.6000000000004</v>
      </c>
      <c r="I594" s="81">
        <v>4467.6000000000004</v>
      </c>
      <c r="J594" s="735">
        <f>I594</f>
        <v>4467.6000000000004</v>
      </c>
      <c r="K594" s="680">
        <f t="shared" si="51"/>
        <v>0</v>
      </c>
      <c r="L594" s="680">
        <f t="shared" si="52"/>
        <v>0</v>
      </c>
    </row>
    <row r="595" spans="1:12" ht="47.25" hidden="1">
      <c r="A595" s="49" t="s">
        <v>798</v>
      </c>
      <c r="B595" s="120" t="s">
        <v>82</v>
      </c>
      <c r="C595" s="68" t="s">
        <v>154</v>
      </c>
      <c r="D595" s="68" t="s">
        <v>154</v>
      </c>
      <c r="E595" s="68" t="s">
        <v>601</v>
      </c>
      <c r="F595" s="68"/>
      <c r="G595" s="81">
        <f>G596</f>
        <v>0</v>
      </c>
      <c r="H595" s="735"/>
      <c r="I595" s="81">
        <f>I596</f>
        <v>0</v>
      </c>
      <c r="J595" s="735"/>
      <c r="K595" s="680">
        <f t="shared" si="51"/>
        <v>0</v>
      </c>
      <c r="L595" s="680">
        <f t="shared" si="52"/>
        <v>0</v>
      </c>
    </row>
    <row r="596" spans="1:12" hidden="1">
      <c r="A596" s="48" t="s">
        <v>205</v>
      </c>
      <c r="B596" s="120" t="s">
        <v>82</v>
      </c>
      <c r="C596" s="68" t="s">
        <v>154</v>
      </c>
      <c r="D596" s="68" t="s">
        <v>154</v>
      </c>
      <c r="E596" s="68" t="s">
        <v>601</v>
      </c>
      <c r="F596" s="68" t="s">
        <v>202</v>
      </c>
      <c r="G596" s="81"/>
      <c r="H596" s="735"/>
      <c r="I596" s="81"/>
      <c r="J596" s="735"/>
      <c r="K596" s="680">
        <f t="shared" si="51"/>
        <v>0</v>
      </c>
      <c r="L596" s="680">
        <f t="shared" si="52"/>
        <v>0</v>
      </c>
    </row>
    <row r="597" spans="1:12" ht="47.25">
      <c r="A597" s="48" t="s">
        <v>569</v>
      </c>
      <c r="B597" s="120" t="s">
        <v>82</v>
      </c>
      <c r="C597" s="68" t="s">
        <v>154</v>
      </c>
      <c r="D597" s="68" t="s">
        <v>154</v>
      </c>
      <c r="E597" s="68" t="s">
        <v>602</v>
      </c>
      <c r="F597" s="68"/>
      <c r="G597" s="81">
        <f>G598+G599+G600</f>
        <v>67</v>
      </c>
      <c r="H597" s="81">
        <f>H598+H599+H600</f>
        <v>67</v>
      </c>
      <c r="I597" s="81">
        <f>I598+I599+I600</f>
        <v>67</v>
      </c>
      <c r="J597" s="81">
        <f>J598+J599+J600</f>
        <v>67</v>
      </c>
      <c r="K597" s="680">
        <f t="shared" si="51"/>
        <v>0</v>
      </c>
      <c r="L597" s="680">
        <f t="shared" si="52"/>
        <v>0</v>
      </c>
    </row>
    <row r="598" spans="1:12">
      <c r="A598" s="48" t="s">
        <v>324</v>
      </c>
      <c r="B598" s="120" t="s">
        <v>82</v>
      </c>
      <c r="C598" s="68" t="s">
        <v>154</v>
      </c>
      <c r="D598" s="68" t="s">
        <v>154</v>
      </c>
      <c r="E598" s="68" t="s">
        <v>602</v>
      </c>
      <c r="F598" s="68" t="s">
        <v>332</v>
      </c>
      <c r="G598" s="81">
        <v>51.459290000000003</v>
      </c>
      <c r="H598" s="81">
        <f>G598</f>
        <v>51.459290000000003</v>
      </c>
      <c r="I598" s="81">
        <v>51.459290000000003</v>
      </c>
      <c r="J598" s="81">
        <f>I598</f>
        <v>51.459290000000003</v>
      </c>
      <c r="K598" s="680">
        <f t="shared" si="51"/>
        <v>0</v>
      </c>
      <c r="L598" s="680">
        <f t="shared" si="52"/>
        <v>0</v>
      </c>
    </row>
    <row r="599" spans="1:12" ht="47.25">
      <c r="A599" s="164" t="s">
        <v>325</v>
      </c>
      <c r="B599" s="120" t="s">
        <v>82</v>
      </c>
      <c r="C599" s="68" t="s">
        <v>154</v>
      </c>
      <c r="D599" s="68" t="s">
        <v>154</v>
      </c>
      <c r="E599" s="68" t="s">
        <v>602</v>
      </c>
      <c r="F599" s="68" t="s">
        <v>334</v>
      </c>
      <c r="G599" s="81">
        <v>15.540710000000001</v>
      </c>
      <c r="H599" s="81">
        <f>G599</f>
        <v>15.540710000000001</v>
      </c>
      <c r="I599" s="81">
        <v>15.540710000000001</v>
      </c>
      <c r="J599" s="81">
        <f>I599</f>
        <v>15.540710000000001</v>
      </c>
      <c r="K599" s="680">
        <f t="shared" si="51"/>
        <v>0</v>
      </c>
      <c r="L599" s="680">
        <f t="shared" si="52"/>
        <v>0</v>
      </c>
    </row>
    <row r="600" spans="1:12" ht="31.5" hidden="1">
      <c r="A600" s="123" t="s">
        <v>209</v>
      </c>
      <c r="B600" s="120" t="s">
        <v>82</v>
      </c>
      <c r="C600" s="68" t="s">
        <v>154</v>
      </c>
      <c r="D600" s="68" t="s">
        <v>154</v>
      </c>
      <c r="E600" s="68" t="s">
        <v>602</v>
      </c>
      <c r="F600" s="68" t="s">
        <v>312</v>
      </c>
      <c r="G600" s="81"/>
      <c r="H600" s="81">
        <f>G600</f>
        <v>0</v>
      </c>
      <c r="I600" s="81"/>
      <c r="J600" s="81">
        <f>I600</f>
        <v>0</v>
      </c>
      <c r="K600" s="680">
        <f t="shared" si="51"/>
        <v>0</v>
      </c>
      <c r="L600" s="680">
        <f t="shared" si="52"/>
        <v>0</v>
      </c>
    </row>
    <row r="601" spans="1:12" ht="47.25">
      <c r="A601" s="564" t="s">
        <v>704</v>
      </c>
      <c r="B601" s="155" t="s">
        <v>82</v>
      </c>
      <c r="C601" s="155" t="s">
        <v>154</v>
      </c>
      <c r="D601" s="155" t="s">
        <v>154</v>
      </c>
      <c r="E601" s="158" t="s">
        <v>715</v>
      </c>
      <c r="F601" s="155"/>
      <c r="G601" s="163">
        <f>G602</f>
        <v>1400</v>
      </c>
      <c r="H601" s="738">
        <v>0</v>
      </c>
      <c r="I601" s="163">
        <f>I602</f>
        <v>1400</v>
      </c>
      <c r="J601" s="738">
        <v>0</v>
      </c>
      <c r="K601" s="680">
        <f t="shared" si="51"/>
        <v>0</v>
      </c>
      <c r="L601" s="680">
        <f t="shared" si="52"/>
        <v>0</v>
      </c>
    </row>
    <row r="602" spans="1:12" ht="31.5">
      <c r="A602" s="564" t="s">
        <v>721</v>
      </c>
      <c r="B602" s="155" t="s">
        <v>82</v>
      </c>
      <c r="C602" s="155" t="s">
        <v>154</v>
      </c>
      <c r="D602" s="155" t="s">
        <v>154</v>
      </c>
      <c r="E602" s="158" t="s">
        <v>712</v>
      </c>
      <c r="F602" s="155"/>
      <c r="G602" s="163">
        <f>G603</f>
        <v>1400</v>
      </c>
      <c r="H602" s="738">
        <v>0</v>
      </c>
      <c r="I602" s="163">
        <f>I603</f>
        <v>1400</v>
      </c>
      <c r="J602" s="738">
        <v>0</v>
      </c>
      <c r="K602" s="680">
        <f t="shared" si="51"/>
        <v>0</v>
      </c>
      <c r="L602" s="680">
        <f t="shared" si="52"/>
        <v>0</v>
      </c>
    </row>
    <row r="603" spans="1:12">
      <c r="A603" s="138" t="s">
        <v>269</v>
      </c>
      <c r="B603" s="120" t="s">
        <v>82</v>
      </c>
      <c r="C603" s="120" t="s">
        <v>154</v>
      </c>
      <c r="D603" s="120" t="s">
        <v>154</v>
      </c>
      <c r="E603" s="172" t="s">
        <v>800</v>
      </c>
      <c r="F603" s="120" t="s">
        <v>270</v>
      </c>
      <c r="G603" s="119">
        <v>1400</v>
      </c>
      <c r="H603" s="739">
        <v>0</v>
      </c>
      <c r="I603" s="119">
        <v>1400</v>
      </c>
      <c r="J603" s="739">
        <v>0</v>
      </c>
      <c r="K603" s="680">
        <f t="shared" si="51"/>
        <v>0</v>
      </c>
      <c r="L603" s="680">
        <f t="shared" si="52"/>
        <v>0</v>
      </c>
    </row>
    <row r="604" spans="1:12" ht="31.5" hidden="1">
      <c r="A604" s="496" t="s">
        <v>777</v>
      </c>
      <c r="B604" s="515" t="s">
        <v>82</v>
      </c>
      <c r="C604" s="515" t="s">
        <v>154</v>
      </c>
      <c r="D604" s="515" t="s">
        <v>154</v>
      </c>
      <c r="E604" s="515" t="s">
        <v>783</v>
      </c>
      <c r="F604" s="515"/>
      <c r="G604" s="377">
        <f>G605</f>
        <v>0</v>
      </c>
      <c r="H604" s="76">
        <v>0</v>
      </c>
      <c r="I604" s="377">
        <f>I605</f>
        <v>0</v>
      </c>
      <c r="J604" s="76">
        <v>0</v>
      </c>
      <c r="K604" s="680">
        <f t="shared" si="51"/>
        <v>0</v>
      </c>
      <c r="L604" s="680">
        <f t="shared" si="52"/>
        <v>0</v>
      </c>
    </row>
    <row r="605" spans="1:12" ht="26.25" hidden="1">
      <c r="A605" s="462" t="s">
        <v>785</v>
      </c>
      <c r="B605" s="68" t="s">
        <v>82</v>
      </c>
      <c r="C605" s="68" t="s">
        <v>154</v>
      </c>
      <c r="D605" s="68" t="s">
        <v>154</v>
      </c>
      <c r="E605" s="172" t="s">
        <v>784</v>
      </c>
      <c r="F605" s="172"/>
      <c r="G605" s="119">
        <f>G606</f>
        <v>0</v>
      </c>
      <c r="H605" s="81">
        <v>0</v>
      </c>
      <c r="I605" s="119">
        <f>I606</f>
        <v>0</v>
      </c>
      <c r="J605" s="81">
        <v>0</v>
      </c>
      <c r="K605" s="680">
        <f t="shared" si="51"/>
        <v>0</v>
      </c>
      <c r="L605" s="680">
        <f t="shared" si="52"/>
        <v>0</v>
      </c>
    </row>
    <row r="606" spans="1:12" hidden="1">
      <c r="A606" s="138" t="s">
        <v>269</v>
      </c>
      <c r="B606" s="68" t="s">
        <v>82</v>
      </c>
      <c r="C606" s="68" t="s">
        <v>154</v>
      </c>
      <c r="D606" s="68" t="s">
        <v>154</v>
      </c>
      <c r="E606" s="172" t="s">
        <v>784</v>
      </c>
      <c r="F606" s="172" t="s">
        <v>270</v>
      </c>
      <c r="G606" s="119">
        <v>0</v>
      </c>
      <c r="H606" s="81">
        <v>0</v>
      </c>
      <c r="I606" s="119">
        <v>0</v>
      </c>
      <c r="J606" s="81">
        <v>0</v>
      </c>
      <c r="K606" s="680">
        <f t="shared" ref="K606:K669" si="55">G606-I606</f>
        <v>0</v>
      </c>
      <c r="L606" s="680">
        <f t="shared" ref="L606:L669" si="56">H606-J606</f>
        <v>0</v>
      </c>
    </row>
    <row r="607" spans="1:12" ht="31.5" hidden="1">
      <c r="A607" s="342" t="s">
        <v>819</v>
      </c>
      <c r="B607" s="153" t="s">
        <v>82</v>
      </c>
      <c r="C607" s="153" t="s">
        <v>154</v>
      </c>
      <c r="D607" s="153" t="s">
        <v>154</v>
      </c>
      <c r="E607" s="160" t="s">
        <v>536</v>
      </c>
      <c r="F607" s="515"/>
      <c r="G607" s="119">
        <f t="shared" ref="G607:J608" si="57">G608</f>
        <v>0</v>
      </c>
      <c r="H607" s="81">
        <f t="shared" si="57"/>
        <v>0</v>
      </c>
      <c r="I607" s="119">
        <f t="shared" si="57"/>
        <v>0</v>
      </c>
      <c r="J607" s="81">
        <f t="shared" si="57"/>
        <v>0</v>
      </c>
      <c r="K607" s="680">
        <f t="shared" si="55"/>
        <v>0</v>
      </c>
      <c r="L607" s="680">
        <f t="shared" si="56"/>
        <v>0</v>
      </c>
    </row>
    <row r="608" spans="1:12" ht="63" hidden="1">
      <c r="A608" s="668" t="s">
        <v>70</v>
      </c>
      <c r="B608" s="148">
        <v>936</v>
      </c>
      <c r="C608" s="149" t="s">
        <v>154</v>
      </c>
      <c r="D608" s="149" t="s">
        <v>154</v>
      </c>
      <c r="E608" s="155" t="s">
        <v>545</v>
      </c>
      <c r="F608" s="571"/>
      <c r="G608" s="119">
        <f t="shared" si="57"/>
        <v>0</v>
      </c>
      <c r="H608" s="81">
        <f t="shared" si="57"/>
        <v>0</v>
      </c>
      <c r="I608" s="119">
        <f t="shared" si="57"/>
        <v>0</v>
      </c>
      <c r="J608" s="81">
        <f t="shared" si="57"/>
        <v>0</v>
      </c>
      <c r="K608" s="680">
        <f t="shared" si="55"/>
        <v>0</v>
      </c>
      <c r="L608" s="680">
        <f t="shared" si="56"/>
        <v>0</v>
      </c>
    </row>
    <row r="609" spans="1:12" hidden="1">
      <c r="A609" s="138" t="s">
        <v>269</v>
      </c>
      <c r="B609" s="68" t="s">
        <v>82</v>
      </c>
      <c r="C609" s="68" t="s">
        <v>154</v>
      </c>
      <c r="D609" s="68" t="s">
        <v>154</v>
      </c>
      <c r="E609" s="68" t="s">
        <v>545</v>
      </c>
      <c r="F609" s="68" t="s">
        <v>270</v>
      </c>
      <c r="G609" s="119"/>
      <c r="H609" s="81">
        <f>G609</f>
        <v>0</v>
      </c>
      <c r="I609" s="119"/>
      <c r="J609" s="81">
        <f>I609</f>
        <v>0</v>
      </c>
      <c r="K609" s="680">
        <f t="shared" si="55"/>
        <v>0</v>
      </c>
      <c r="L609" s="680">
        <f t="shared" si="56"/>
        <v>0</v>
      </c>
    </row>
    <row r="610" spans="1:12" s="63" customFormat="1">
      <c r="A610" s="198" t="s">
        <v>308</v>
      </c>
      <c r="B610" s="120" t="s">
        <v>82</v>
      </c>
      <c r="C610" s="199" t="s">
        <v>154</v>
      </c>
      <c r="D610" s="199" t="s">
        <v>156</v>
      </c>
      <c r="E610" s="199"/>
      <c r="F610" s="199"/>
      <c r="G610" s="200">
        <f>G619+G627+G631+G615+G611</f>
        <v>45303.881960000006</v>
      </c>
      <c r="H610" s="200">
        <f>H619+H627+H631</f>
        <v>31582.36634</v>
      </c>
      <c r="I610" s="200">
        <f>I619+I627+I631+I615+I611</f>
        <v>31555.748629999998</v>
      </c>
      <c r="J610" s="200">
        <f>J619+J627+J631</f>
        <v>135.80000000000001</v>
      </c>
      <c r="K610" s="680">
        <f t="shared" si="55"/>
        <v>13748.133330000008</v>
      </c>
      <c r="L610" s="680">
        <f t="shared" si="56"/>
        <v>31446.566340000001</v>
      </c>
    </row>
    <row r="611" spans="1:12" s="63" customFormat="1" ht="47.25" hidden="1">
      <c r="A611" s="496" t="s">
        <v>909</v>
      </c>
      <c r="B611" s="153" t="s">
        <v>82</v>
      </c>
      <c r="C611" s="670" t="s">
        <v>154</v>
      </c>
      <c r="D611" s="670" t="s">
        <v>156</v>
      </c>
      <c r="E611" s="671" t="s">
        <v>907</v>
      </c>
      <c r="F611" s="671"/>
      <c r="G611" s="672">
        <f>G612</f>
        <v>0</v>
      </c>
      <c r="H611" s="672">
        <v>0</v>
      </c>
      <c r="I611" s="672">
        <f>I612</f>
        <v>0</v>
      </c>
      <c r="J611" s="672">
        <v>0</v>
      </c>
      <c r="K611" s="680">
        <f t="shared" si="55"/>
        <v>0</v>
      </c>
      <c r="L611" s="680">
        <f t="shared" si="56"/>
        <v>0</v>
      </c>
    </row>
    <row r="612" spans="1:12" s="63" customFormat="1" ht="74.25" hidden="1" customHeight="1">
      <c r="A612" s="138" t="s">
        <v>910</v>
      </c>
      <c r="B612" s="120" t="s">
        <v>82</v>
      </c>
      <c r="C612" s="477" t="s">
        <v>154</v>
      </c>
      <c r="D612" s="477" t="s">
        <v>156</v>
      </c>
      <c r="E612" s="199" t="s">
        <v>907</v>
      </c>
      <c r="F612" s="199"/>
      <c r="G612" s="200">
        <f>G613</f>
        <v>0</v>
      </c>
      <c r="H612" s="200">
        <f>H613</f>
        <v>0</v>
      </c>
      <c r="I612" s="200">
        <f>I613</f>
        <v>0</v>
      </c>
      <c r="J612" s="200">
        <f>J613</f>
        <v>0</v>
      </c>
      <c r="K612" s="680">
        <f t="shared" si="55"/>
        <v>0</v>
      </c>
      <c r="L612" s="680">
        <f t="shared" si="56"/>
        <v>0</v>
      </c>
    </row>
    <row r="613" spans="1:12" s="63" customFormat="1" ht="39" hidden="1">
      <c r="A613" s="699" t="s">
        <v>994</v>
      </c>
      <c r="B613" s="120" t="s">
        <v>82</v>
      </c>
      <c r="C613" s="477" t="s">
        <v>154</v>
      </c>
      <c r="D613" s="477" t="s">
        <v>156</v>
      </c>
      <c r="E613" s="199" t="s">
        <v>908</v>
      </c>
      <c r="F613" s="199"/>
      <c r="G613" s="200">
        <f>G614</f>
        <v>0</v>
      </c>
      <c r="H613" s="200">
        <f>H614</f>
        <v>0</v>
      </c>
      <c r="I613" s="200">
        <f>I614</f>
        <v>0</v>
      </c>
      <c r="J613" s="200">
        <f>J614</f>
        <v>0</v>
      </c>
      <c r="K613" s="680">
        <f t="shared" si="55"/>
        <v>0</v>
      </c>
      <c r="L613" s="680">
        <f t="shared" si="56"/>
        <v>0</v>
      </c>
    </row>
    <row r="614" spans="1:12" s="63" customFormat="1" ht="31.5" hidden="1">
      <c r="A614" s="123" t="s">
        <v>209</v>
      </c>
      <c r="B614" s="120" t="s">
        <v>82</v>
      </c>
      <c r="C614" s="477" t="s">
        <v>154</v>
      </c>
      <c r="D614" s="477" t="s">
        <v>156</v>
      </c>
      <c r="E614" s="199" t="s">
        <v>908</v>
      </c>
      <c r="F614" s="199" t="s">
        <v>312</v>
      </c>
      <c r="G614" s="200"/>
      <c r="H614" s="200">
        <v>0</v>
      </c>
      <c r="I614" s="200"/>
      <c r="J614" s="200">
        <v>0</v>
      </c>
      <c r="K614" s="680">
        <f t="shared" si="55"/>
        <v>0</v>
      </c>
      <c r="L614" s="680">
        <f t="shared" si="56"/>
        <v>0</v>
      </c>
    </row>
    <row r="615" spans="1:12" s="63" customFormat="1" ht="31.5" hidden="1">
      <c r="A615" s="496" t="s">
        <v>564</v>
      </c>
      <c r="B615" s="633">
        <v>936</v>
      </c>
      <c r="C615" s="515" t="s">
        <v>154</v>
      </c>
      <c r="D615" s="515" t="s">
        <v>156</v>
      </c>
      <c r="E615" s="515" t="s">
        <v>428</v>
      </c>
      <c r="F615" s="515"/>
      <c r="G615" s="377">
        <f>G616</f>
        <v>0</v>
      </c>
      <c r="H615" s="740">
        <f>H616</f>
        <v>0</v>
      </c>
      <c r="I615" s="377">
        <f>I616</f>
        <v>0</v>
      </c>
      <c r="J615" s="740">
        <f>J616</f>
        <v>0</v>
      </c>
      <c r="K615" s="680">
        <f t="shared" si="55"/>
        <v>0</v>
      </c>
      <c r="L615" s="680">
        <f t="shared" si="56"/>
        <v>0</v>
      </c>
    </row>
    <row r="616" spans="1:12" s="63" customFormat="1" ht="31.5" hidden="1">
      <c r="A616" s="147" t="s">
        <v>565</v>
      </c>
      <c r="B616" s="149" t="s">
        <v>82</v>
      </c>
      <c r="C616" s="149" t="s">
        <v>154</v>
      </c>
      <c r="D616" s="149" t="s">
        <v>156</v>
      </c>
      <c r="E616" s="512" t="s">
        <v>393</v>
      </c>
      <c r="F616" s="149"/>
      <c r="G616" s="150">
        <f t="shared" ref="G616:I617" si="58">G617</f>
        <v>0</v>
      </c>
      <c r="H616" s="200">
        <f>H617</f>
        <v>0</v>
      </c>
      <c r="I616" s="150">
        <f t="shared" si="58"/>
        <v>0</v>
      </c>
      <c r="J616" s="200">
        <f>J617</f>
        <v>0</v>
      </c>
      <c r="K616" s="680">
        <f t="shared" si="55"/>
        <v>0</v>
      </c>
      <c r="L616" s="680">
        <f t="shared" si="56"/>
        <v>0</v>
      </c>
    </row>
    <row r="617" spans="1:12" s="63" customFormat="1" hidden="1">
      <c r="A617" s="147" t="s">
        <v>646</v>
      </c>
      <c r="B617" s="149" t="s">
        <v>82</v>
      </c>
      <c r="C617" s="149" t="s">
        <v>154</v>
      </c>
      <c r="D617" s="149" t="s">
        <v>156</v>
      </c>
      <c r="E617" s="512" t="s">
        <v>393</v>
      </c>
      <c r="F617" s="149"/>
      <c r="G617" s="150">
        <f t="shared" si="58"/>
        <v>0</v>
      </c>
      <c r="H617" s="200">
        <f>H618</f>
        <v>0</v>
      </c>
      <c r="I617" s="150">
        <f t="shared" si="58"/>
        <v>0</v>
      </c>
      <c r="J617" s="200">
        <f>J618</f>
        <v>0</v>
      </c>
      <c r="K617" s="680">
        <f t="shared" si="55"/>
        <v>0</v>
      </c>
      <c r="L617" s="680">
        <f t="shared" si="56"/>
        <v>0</v>
      </c>
    </row>
    <row r="618" spans="1:12" s="63" customFormat="1" ht="31.5" hidden="1">
      <c r="A618" s="123" t="s">
        <v>209</v>
      </c>
      <c r="B618" s="70">
        <v>936</v>
      </c>
      <c r="C618" s="68" t="s">
        <v>154</v>
      </c>
      <c r="D618" s="68" t="s">
        <v>156</v>
      </c>
      <c r="E618" s="373" t="s">
        <v>393</v>
      </c>
      <c r="F618" s="68" t="s">
        <v>312</v>
      </c>
      <c r="G618" s="81"/>
      <c r="H618" s="200">
        <v>0</v>
      </c>
      <c r="I618" s="81"/>
      <c r="J618" s="200">
        <v>0</v>
      </c>
      <c r="K618" s="680">
        <f t="shared" si="55"/>
        <v>0</v>
      </c>
      <c r="L618" s="680">
        <f t="shared" si="56"/>
        <v>0</v>
      </c>
    </row>
    <row r="619" spans="1:12" s="63" customFormat="1" ht="47.25">
      <c r="A619" s="496" t="s">
        <v>946</v>
      </c>
      <c r="B619" s="515" t="s">
        <v>82</v>
      </c>
      <c r="C619" s="515" t="s">
        <v>154</v>
      </c>
      <c r="D619" s="515" t="s">
        <v>156</v>
      </c>
      <c r="E619" s="515" t="s">
        <v>581</v>
      </c>
      <c r="F619" s="515"/>
      <c r="G619" s="377">
        <f>G623+G620</f>
        <v>3613.8</v>
      </c>
      <c r="H619" s="377">
        <f>H623+H620</f>
        <v>3213.8</v>
      </c>
      <c r="I619" s="377">
        <f>I623+I620</f>
        <v>400</v>
      </c>
      <c r="J619" s="377">
        <f>J623+J620</f>
        <v>0</v>
      </c>
      <c r="K619" s="680">
        <f t="shared" si="55"/>
        <v>3213.8</v>
      </c>
      <c r="L619" s="680">
        <f t="shared" si="56"/>
        <v>3213.8</v>
      </c>
    </row>
    <row r="620" spans="1:12" s="63" customFormat="1" ht="31.5">
      <c r="A620" s="147" t="s">
        <v>349</v>
      </c>
      <c r="B620" s="515" t="s">
        <v>82</v>
      </c>
      <c r="C620" s="515" t="s">
        <v>154</v>
      </c>
      <c r="D620" s="515" t="s">
        <v>156</v>
      </c>
      <c r="E620" s="515"/>
      <c r="F620" s="515"/>
      <c r="G620" s="377">
        <f t="shared" ref="G620:J621" si="59">G621</f>
        <v>3213.8</v>
      </c>
      <c r="H620" s="377">
        <f t="shared" si="59"/>
        <v>3213.8</v>
      </c>
      <c r="I620" s="377">
        <f t="shared" si="59"/>
        <v>0</v>
      </c>
      <c r="J620" s="377">
        <f t="shared" si="59"/>
        <v>0</v>
      </c>
      <c r="K620" s="680">
        <f t="shared" si="55"/>
        <v>3213.8</v>
      </c>
      <c r="L620" s="680">
        <f t="shared" si="56"/>
        <v>3213.8</v>
      </c>
    </row>
    <row r="621" spans="1:12" s="63" customFormat="1" ht="63">
      <c r="A621" s="173" t="s">
        <v>998</v>
      </c>
      <c r="B621" s="120" t="s">
        <v>82</v>
      </c>
      <c r="C621" s="68" t="s">
        <v>154</v>
      </c>
      <c r="D621" s="68" t="s">
        <v>156</v>
      </c>
      <c r="E621" s="276" t="s">
        <v>999</v>
      </c>
      <c r="F621" s="68"/>
      <c r="G621" s="119">
        <f t="shared" si="59"/>
        <v>3213.8</v>
      </c>
      <c r="H621" s="377">
        <f t="shared" si="59"/>
        <v>3213.8</v>
      </c>
      <c r="I621" s="119">
        <f t="shared" si="59"/>
        <v>0</v>
      </c>
      <c r="J621" s="377">
        <f t="shared" si="59"/>
        <v>0</v>
      </c>
      <c r="K621" s="680">
        <f t="shared" si="55"/>
        <v>3213.8</v>
      </c>
      <c r="L621" s="680">
        <f t="shared" si="56"/>
        <v>3213.8</v>
      </c>
    </row>
    <row r="622" spans="1:12" s="63" customFormat="1">
      <c r="A622" s="138" t="s">
        <v>205</v>
      </c>
      <c r="B622" s="120" t="s">
        <v>82</v>
      </c>
      <c r="C622" s="68" t="s">
        <v>154</v>
      </c>
      <c r="D622" s="68" t="s">
        <v>156</v>
      </c>
      <c r="E622" s="276" t="s">
        <v>999</v>
      </c>
      <c r="F622" s="68" t="s">
        <v>202</v>
      </c>
      <c r="G622" s="119">
        <v>3213.8</v>
      </c>
      <c r="H622" s="377">
        <f>G622</f>
        <v>3213.8</v>
      </c>
      <c r="I622" s="119"/>
      <c r="J622" s="377">
        <f>I622</f>
        <v>0</v>
      </c>
      <c r="K622" s="680">
        <f t="shared" si="55"/>
        <v>3213.8</v>
      </c>
      <c r="L622" s="680">
        <f t="shared" si="56"/>
        <v>3213.8</v>
      </c>
    </row>
    <row r="623" spans="1:12" s="63" customFormat="1" ht="42" customHeight="1">
      <c r="A623" s="147" t="s">
        <v>346</v>
      </c>
      <c r="B623" s="155" t="s">
        <v>82</v>
      </c>
      <c r="C623" s="149" t="s">
        <v>154</v>
      </c>
      <c r="D623" s="149" t="s">
        <v>156</v>
      </c>
      <c r="E623" s="346" t="s">
        <v>603</v>
      </c>
      <c r="F623" s="149"/>
      <c r="G623" s="150">
        <f t="shared" ref="G623:J623" si="60">G624</f>
        <v>400</v>
      </c>
      <c r="H623" s="150">
        <f t="shared" si="60"/>
        <v>0</v>
      </c>
      <c r="I623" s="150">
        <f t="shared" si="60"/>
        <v>400</v>
      </c>
      <c r="J623" s="150">
        <f t="shared" si="60"/>
        <v>0</v>
      </c>
      <c r="K623" s="680">
        <f t="shared" si="55"/>
        <v>0</v>
      </c>
      <c r="L623" s="680">
        <f t="shared" si="56"/>
        <v>0</v>
      </c>
    </row>
    <row r="624" spans="1:12" s="63" customFormat="1" ht="60.75" customHeight="1">
      <c r="A624" s="147" t="s">
        <v>604</v>
      </c>
      <c r="B624" s="155" t="s">
        <v>82</v>
      </c>
      <c r="C624" s="149" t="s">
        <v>154</v>
      </c>
      <c r="D624" s="149" t="s">
        <v>156</v>
      </c>
      <c r="E624" s="346" t="s">
        <v>605</v>
      </c>
      <c r="F624" s="149"/>
      <c r="G624" s="150">
        <f>G626+G625</f>
        <v>400</v>
      </c>
      <c r="H624" s="150">
        <f>H626</f>
        <v>0</v>
      </c>
      <c r="I624" s="150">
        <f>I626+I625</f>
        <v>400</v>
      </c>
      <c r="J624" s="150">
        <f>J626</f>
        <v>0</v>
      </c>
      <c r="K624" s="680">
        <f t="shared" si="55"/>
        <v>0</v>
      </c>
      <c r="L624" s="680">
        <f t="shared" si="56"/>
        <v>0</v>
      </c>
    </row>
    <row r="625" spans="1:12" s="63" customFormat="1" ht="38.25" hidden="1" customHeight="1">
      <c r="A625" s="175" t="s">
        <v>317</v>
      </c>
      <c r="B625" s="120" t="s">
        <v>82</v>
      </c>
      <c r="C625" s="120" t="s">
        <v>154</v>
      </c>
      <c r="D625" s="120" t="s">
        <v>156</v>
      </c>
      <c r="E625" s="120" t="s">
        <v>676</v>
      </c>
      <c r="F625" s="172" t="s">
        <v>318</v>
      </c>
      <c r="G625" s="169"/>
      <c r="H625" s="150"/>
      <c r="I625" s="169"/>
      <c r="J625" s="150"/>
      <c r="K625" s="680">
        <f t="shared" si="55"/>
        <v>0</v>
      </c>
      <c r="L625" s="680">
        <f t="shared" si="56"/>
        <v>0</v>
      </c>
    </row>
    <row r="626" spans="1:12" s="63" customFormat="1" ht="31.5">
      <c r="A626" s="210" t="s">
        <v>209</v>
      </c>
      <c r="B626" s="120" t="s">
        <v>82</v>
      </c>
      <c r="C626" s="120" t="s">
        <v>154</v>
      </c>
      <c r="D626" s="120" t="s">
        <v>156</v>
      </c>
      <c r="E626" s="120" t="s">
        <v>676</v>
      </c>
      <c r="F626" s="120" t="s">
        <v>312</v>
      </c>
      <c r="G626" s="93">
        <v>400</v>
      </c>
      <c r="H626" s="93">
        <v>0</v>
      </c>
      <c r="I626" s="93">
        <v>400</v>
      </c>
      <c r="J626" s="93">
        <v>0</v>
      </c>
      <c r="K626" s="680">
        <f t="shared" si="55"/>
        <v>0</v>
      </c>
      <c r="L626" s="680">
        <f t="shared" si="56"/>
        <v>0</v>
      </c>
    </row>
    <row r="627" spans="1:12" s="64" customFormat="1" ht="31.5" hidden="1">
      <c r="A627" s="507" t="s">
        <v>549</v>
      </c>
      <c r="B627" s="515" t="s">
        <v>82</v>
      </c>
      <c r="C627" s="152" t="s">
        <v>154</v>
      </c>
      <c r="D627" s="152" t="s">
        <v>156</v>
      </c>
      <c r="E627" s="636" t="s">
        <v>679</v>
      </c>
      <c r="F627" s="152"/>
      <c r="G627" s="377">
        <f t="shared" ref="G627:J627" si="61">G628</f>
        <v>0</v>
      </c>
      <c r="H627" s="154">
        <f t="shared" si="61"/>
        <v>0</v>
      </c>
      <c r="I627" s="377">
        <f t="shared" si="61"/>
        <v>0</v>
      </c>
      <c r="J627" s="154">
        <f t="shared" si="61"/>
        <v>0</v>
      </c>
      <c r="K627" s="680">
        <f t="shared" si="55"/>
        <v>0</v>
      </c>
      <c r="L627" s="680">
        <f t="shared" si="56"/>
        <v>0</v>
      </c>
    </row>
    <row r="628" spans="1:12" s="64" customFormat="1" ht="62.25" hidden="1" customHeight="1">
      <c r="A628" s="133" t="s">
        <v>643</v>
      </c>
      <c r="B628" s="160">
        <v>936</v>
      </c>
      <c r="C628" s="153" t="s">
        <v>154</v>
      </c>
      <c r="D628" s="153" t="s">
        <v>156</v>
      </c>
      <c r="E628" s="513" t="s">
        <v>621</v>
      </c>
      <c r="F628" s="144"/>
      <c r="G628" s="162">
        <f>G630+G629</f>
        <v>0</v>
      </c>
      <c r="H628" s="146">
        <f>H630</f>
        <v>0</v>
      </c>
      <c r="I628" s="162">
        <f>I630+I629</f>
        <v>0</v>
      </c>
      <c r="J628" s="146">
        <f>J630</f>
        <v>0</v>
      </c>
      <c r="K628" s="680">
        <f t="shared" si="55"/>
        <v>0</v>
      </c>
      <c r="L628" s="680">
        <f t="shared" si="56"/>
        <v>0</v>
      </c>
    </row>
    <row r="629" spans="1:12" s="64" customFormat="1" ht="62.25" hidden="1" customHeight="1">
      <c r="A629" s="173" t="s">
        <v>529</v>
      </c>
      <c r="B629" s="120" t="s">
        <v>82</v>
      </c>
      <c r="C629" s="68" t="s">
        <v>154</v>
      </c>
      <c r="D629" s="68" t="s">
        <v>156</v>
      </c>
      <c r="E629" s="508" t="s">
        <v>550</v>
      </c>
      <c r="F629" s="172" t="s">
        <v>528</v>
      </c>
      <c r="G629" s="167"/>
      <c r="H629" s="146"/>
      <c r="I629" s="167"/>
      <c r="J629" s="146"/>
      <c r="K629" s="680">
        <f t="shared" si="55"/>
        <v>0</v>
      </c>
      <c r="L629" s="680">
        <f t="shared" si="56"/>
        <v>0</v>
      </c>
    </row>
    <row r="630" spans="1:12" s="62" customFormat="1" ht="31.5" hidden="1">
      <c r="A630" s="123" t="s">
        <v>209</v>
      </c>
      <c r="B630" s="120" t="s">
        <v>82</v>
      </c>
      <c r="C630" s="68" t="s">
        <v>154</v>
      </c>
      <c r="D630" s="68" t="s">
        <v>156</v>
      </c>
      <c r="E630" s="508" t="s">
        <v>550</v>
      </c>
      <c r="F630" s="68" t="s">
        <v>312</v>
      </c>
      <c r="G630" s="81"/>
      <c r="H630" s="81">
        <v>0</v>
      </c>
      <c r="I630" s="81"/>
      <c r="J630" s="81">
        <v>0</v>
      </c>
      <c r="K630" s="680">
        <f t="shared" si="55"/>
        <v>0</v>
      </c>
      <c r="L630" s="680">
        <f t="shared" si="56"/>
        <v>0</v>
      </c>
    </row>
    <row r="631" spans="1:12" s="62" customFormat="1" ht="50.25" customHeight="1">
      <c r="A631" s="496" t="s">
        <v>946</v>
      </c>
      <c r="B631" s="515" t="s">
        <v>82</v>
      </c>
      <c r="C631" s="515" t="s">
        <v>154</v>
      </c>
      <c r="D631" s="515" t="s">
        <v>156</v>
      </c>
      <c r="E631" s="515" t="s">
        <v>581</v>
      </c>
      <c r="F631" s="515"/>
      <c r="G631" s="377">
        <f>G632+G666</f>
        <v>41690.081960000003</v>
      </c>
      <c r="H631" s="377">
        <f>H632</f>
        <v>28368.566340000001</v>
      </c>
      <c r="I631" s="377">
        <f>I632+I666</f>
        <v>31155.748629999998</v>
      </c>
      <c r="J631" s="377">
        <f>J632</f>
        <v>135.80000000000001</v>
      </c>
      <c r="K631" s="680">
        <f t="shared" si="55"/>
        <v>10534.333330000005</v>
      </c>
      <c r="L631" s="680">
        <f t="shared" si="56"/>
        <v>28232.766340000002</v>
      </c>
    </row>
    <row r="632" spans="1:12" s="62" customFormat="1" ht="47.25">
      <c r="A632" s="123" t="s">
        <v>1007</v>
      </c>
      <c r="B632" s="120" t="s">
        <v>82</v>
      </c>
      <c r="C632" s="67" t="s">
        <v>154</v>
      </c>
      <c r="D632" s="67" t="s">
        <v>156</v>
      </c>
      <c r="E632" s="508" t="s">
        <v>607</v>
      </c>
      <c r="F632" s="68"/>
      <c r="G632" s="81">
        <f>G633</f>
        <v>41367.401960000003</v>
      </c>
      <c r="H632" s="81">
        <f>H633</f>
        <v>28368.566340000001</v>
      </c>
      <c r="I632" s="81">
        <f>I633</f>
        <v>30833.068629999998</v>
      </c>
      <c r="J632" s="81">
        <f>J633</f>
        <v>135.80000000000001</v>
      </c>
      <c r="K632" s="680">
        <f t="shared" si="55"/>
        <v>10534.333330000005</v>
      </c>
      <c r="L632" s="680">
        <f t="shared" si="56"/>
        <v>28232.766340000002</v>
      </c>
    </row>
    <row r="633" spans="1:12" s="62" customFormat="1" ht="47.25">
      <c r="A633" s="123" t="s">
        <v>606</v>
      </c>
      <c r="B633" s="120" t="s">
        <v>82</v>
      </c>
      <c r="C633" s="67" t="s">
        <v>154</v>
      </c>
      <c r="D633" s="67" t="s">
        <v>156</v>
      </c>
      <c r="E633" s="508" t="s">
        <v>608</v>
      </c>
      <c r="F633" s="68"/>
      <c r="G633" s="81">
        <f>G634+G641+G654+G657+G660+G663+G638+G651</f>
        <v>41367.401960000003</v>
      </c>
      <c r="H633" s="81">
        <f>H634+H641+H654+H657+H660+H638+H651</f>
        <v>28368.566340000001</v>
      </c>
      <c r="I633" s="81">
        <f>I634+I641+I654+I657+I660+I663+I638+I651</f>
        <v>30833.068629999998</v>
      </c>
      <c r="J633" s="81">
        <f>J634+J641+J654+J657+J660+J638+J651</f>
        <v>135.80000000000001</v>
      </c>
      <c r="K633" s="680">
        <f t="shared" si="55"/>
        <v>10534.333330000005</v>
      </c>
      <c r="L633" s="680">
        <f t="shared" si="56"/>
        <v>28232.766340000002</v>
      </c>
    </row>
    <row r="634" spans="1:12" ht="31.5">
      <c r="A634" s="49" t="s">
        <v>323</v>
      </c>
      <c r="B634" s="120" t="s">
        <v>82</v>
      </c>
      <c r="C634" s="67" t="s">
        <v>154</v>
      </c>
      <c r="D634" s="67" t="s">
        <v>156</v>
      </c>
      <c r="E634" s="67" t="s">
        <v>609</v>
      </c>
      <c r="F634" s="67"/>
      <c r="G634" s="81">
        <f t="shared" ref="G634:J634" si="62">G635</f>
        <v>1568.5862499999998</v>
      </c>
      <c r="H634" s="81">
        <f t="shared" si="62"/>
        <v>0</v>
      </c>
      <c r="I634" s="81">
        <f t="shared" si="62"/>
        <v>3017.3506299999999</v>
      </c>
      <c r="J634" s="81">
        <f t="shared" si="62"/>
        <v>0</v>
      </c>
      <c r="K634" s="680">
        <f t="shared" si="55"/>
        <v>-1448.7643800000001</v>
      </c>
      <c r="L634" s="680">
        <f t="shared" si="56"/>
        <v>0</v>
      </c>
    </row>
    <row r="635" spans="1:12" ht="31.5">
      <c r="A635" s="46" t="s">
        <v>298</v>
      </c>
      <c r="B635" s="120" t="s">
        <v>82</v>
      </c>
      <c r="C635" s="67" t="s">
        <v>154</v>
      </c>
      <c r="D635" s="67" t="s">
        <v>156</v>
      </c>
      <c r="E635" s="67" t="s">
        <v>610</v>
      </c>
      <c r="F635" s="67"/>
      <c r="G635" s="81">
        <f>G636+G637</f>
        <v>1568.5862499999998</v>
      </c>
      <c r="H635" s="81">
        <f>H636+H637</f>
        <v>0</v>
      </c>
      <c r="I635" s="81">
        <f>I636+I637</f>
        <v>3017.3506299999999</v>
      </c>
      <c r="J635" s="81">
        <f>J636+J637</f>
        <v>0</v>
      </c>
      <c r="K635" s="680">
        <f t="shared" si="55"/>
        <v>-1448.7643800000001</v>
      </c>
      <c r="L635" s="680">
        <f t="shared" si="56"/>
        <v>0</v>
      </c>
    </row>
    <row r="636" spans="1:12">
      <c r="A636" s="48" t="s">
        <v>324</v>
      </c>
      <c r="B636" s="120" t="s">
        <v>82</v>
      </c>
      <c r="C636" s="68" t="s">
        <v>154</v>
      </c>
      <c r="D636" s="68" t="s">
        <v>156</v>
      </c>
      <c r="E636" s="67" t="s">
        <v>610</v>
      </c>
      <c r="F636" s="70">
        <v>121</v>
      </c>
      <c r="G636" s="81">
        <f>2317.4736-1112.72223</f>
        <v>1204.7513699999997</v>
      </c>
      <c r="H636" s="81">
        <v>0</v>
      </c>
      <c r="I636" s="81">
        <v>2317.4735999999998</v>
      </c>
      <c r="J636" s="81">
        <v>0</v>
      </c>
      <c r="K636" s="680">
        <f t="shared" si="55"/>
        <v>-1112.7222300000001</v>
      </c>
      <c r="L636" s="680">
        <f t="shared" si="56"/>
        <v>0</v>
      </c>
    </row>
    <row r="637" spans="1:12" ht="47.25">
      <c r="A637" s="164" t="s">
        <v>325</v>
      </c>
      <c r="B637" s="120" t="s">
        <v>82</v>
      </c>
      <c r="C637" s="68" t="s">
        <v>154</v>
      </c>
      <c r="D637" s="68" t="s">
        <v>156</v>
      </c>
      <c r="E637" s="67" t="s">
        <v>610</v>
      </c>
      <c r="F637" s="70">
        <v>129</v>
      </c>
      <c r="G637" s="81">
        <f>699.87703-336.04215</f>
        <v>363.83488</v>
      </c>
      <c r="H637" s="81">
        <v>0</v>
      </c>
      <c r="I637" s="81">
        <v>699.87702999999999</v>
      </c>
      <c r="J637" s="81">
        <v>0</v>
      </c>
      <c r="K637" s="680">
        <f t="shared" si="55"/>
        <v>-336.04214999999999</v>
      </c>
      <c r="L637" s="680">
        <f t="shared" si="56"/>
        <v>0</v>
      </c>
    </row>
    <row r="638" spans="1:12" ht="63">
      <c r="A638" s="46" t="s">
        <v>570</v>
      </c>
      <c r="B638" s="120" t="s">
        <v>82</v>
      </c>
      <c r="C638" s="68" t="s">
        <v>154</v>
      </c>
      <c r="D638" s="68" t="s">
        <v>156</v>
      </c>
      <c r="E638" s="68" t="s">
        <v>637</v>
      </c>
      <c r="F638" s="70"/>
      <c r="G638" s="81">
        <f>G639+G640</f>
        <v>1448.76448</v>
      </c>
      <c r="H638" s="81">
        <f>H639+H640</f>
        <v>1448.76448</v>
      </c>
      <c r="I638" s="81">
        <f>I639+I640</f>
        <v>0</v>
      </c>
      <c r="J638" s="81">
        <f>J639+J640</f>
        <v>0</v>
      </c>
      <c r="K638" s="680">
        <f t="shared" si="55"/>
        <v>1448.76448</v>
      </c>
      <c r="L638" s="680">
        <f t="shared" si="56"/>
        <v>1448.76448</v>
      </c>
    </row>
    <row r="639" spans="1:12">
      <c r="A639" s="48" t="s">
        <v>324</v>
      </c>
      <c r="B639" s="120" t="s">
        <v>82</v>
      </c>
      <c r="C639" s="68" t="s">
        <v>154</v>
      </c>
      <c r="D639" s="68" t="s">
        <v>156</v>
      </c>
      <c r="E639" s="68" t="s">
        <v>637</v>
      </c>
      <c r="F639" s="70">
        <v>121</v>
      </c>
      <c r="G639" s="81">
        <v>1112.7223300000001</v>
      </c>
      <c r="H639" s="81">
        <f>G639</f>
        <v>1112.7223300000001</v>
      </c>
      <c r="I639" s="81"/>
      <c r="J639" s="81">
        <f>I639</f>
        <v>0</v>
      </c>
      <c r="K639" s="680">
        <f t="shared" si="55"/>
        <v>1112.7223300000001</v>
      </c>
      <c r="L639" s="680">
        <f t="shared" si="56"/>
        <v>1112.7223300000001</v>
      </c>
    </row>
    <row r="640" spans="1:12" ht="47.25">
      <c r="A640" s="164" t="s">
        <v>325</v>
      </c>
      <c r="B640" s="120" t="s">
        <v>82</v>
      </c>
      <c r="C640" s="68" t="s">
        <v>154</v>
      </c>
      <c r="D640" s="68" t="s">
        <v>156</v>
      </c>
      <c r="E640" s="68" t="s">
        <v>637</v>
      </c>
      <c r="F640" s="70">
        <v>129</v>
      </c>
      <c r="G640" s="81">
        <v>336.04214999999999</v>
      </c>
      <c r="H640" s="81">
        <f>G640</f>
        <v>336.04214999999999</v>
      </c>
      <c r="I640" s="81"/>
      <c r="J640" s="81">
        <f>I640</f>
        <v>0</v>
      </c>
      <c r="K640" s="680">
        <f t="shared" si="55"/>
        <v>336.04214999999999</v>
      </c>
      <c r="L640" s="680">
        <f t="shared" si="56"/>
        <v>336.04214999999999</v>
      </c>
    </row>
    <row r="641" spans="1:12" ht="47.25">
      <c r="A641" s="49" t="s">
        <v>293</v>
      </c>
      <c r="B641" s="120" t="s">
        <v>82</v>
      </c>
      <c r="C641" s="67" t="s">
        <v>154</v>
      </c>
      <c r="D641" s="67" t="s">
        <v>156</v>
      </c>
      <c r="E641" s="67" t="s">
        <v>634</v>
      </c>
      <c r="F641" s="67"/>
      <c r="G641" s="119">
        <f>G642+G644+G645+G646+G647+G649+G648+G643+G650</f>
        <v>10130.969370000001</v>
      </c>
      <c r="H641" s="119">
        <f t="shared" ref="H641:J641" si="63">H642+H644+H645+H646+H647+H649+H648+H643</f>
        <v>0</v>
      </c>
      <c r="I641" s="119">
        <f>I642+I644+I645+I646+I647+I649+I648+I643+I650</f>
        <v>27679.917999999998</v>
      </c>
      <c r="J641" s="119">
        <f t="shared" si="63"/>
        <v>0</v>
      </c>
      <c r="K641" s="680">
        <f t="shared" si="55"/>
        <v>-17548.948629999999</v>
      </c>
      <c r="L641" s="680">
        <f t="shared" si="56"/>
        <v>0</v>
      </c>
    </row>
    <row r="642" spans="1:12" s="174" customFormat="1">
      <c r="A642" s="173" t="s">
        <v>446</v>
      </c>
      <c r="B642" s="120" t="s">
        <v>82</v>
      </c>
      <c r="C642" s="172" t="s">
        <v>154</v>
      </c>
      <c r="D642" s="172" t="s">
        <v>156</v>
      </c>
      <c r="E642" s="68" t="s">
        <v>634</v>
      </c>
      <c r="F642" s="172" t="s">
        <v>332</v>
      </c>
      <c r="G642" s="167">
        <f>15523.632-2424.2426-8985.1034-997.911</f>
        <v>3116.375</v>
      </c>
      <c r="H642" s="381">
        <v>0</v>
      </c>
      <c r="I642" s="167">
        <v>15523.632</v>
      </c>
      <c r="J642" s="381">
        <v>0</v>
      </c>
      <c r="K642" s="680">
        <f t="shared" si="55"/>
        <v>-12407.257</v>
      </c>
      <c r="L642" s="680">
        <f t="shared" si="56"/>
        <v>0</v>
      </c>
    </row>
    <row r="643" spans="1:12" s="174" customFormat="1">
      <c r="A643" s="173" t="s">
        <v>779</v>
      </c>
      <c r="B643" s="120" t="s">
        <v>82</v>
      </c>
      <c r="C643" s="172" t="s">
        <v>154</v>
      </c>
      <c r="D643" s="172" t="s">
        <v>156</v>
      </c>
      <c r="E643" s="68" t="s">
        <v>634</v>
      </c>
      <c r="F643" s="172" t="s">
        <v>333</v>
      </c>
      <c r="G643" s="167">
        <v>50</v>
      </c>
      <c r="H643" s="381">
        <v>0</v>
      </c>
      <c r="I643" s="167">
        <v>50</v>
      </c>
      <c r="J643" s="381">
        <v>0</v>
      </c>
      <c r="K643" s="680">
        <f t="shared" si="55"/>
        <v>0</v>
      </c>
      <c r="L643" s="680">
        <f t="shared" si="56"/>
        <v>0</v>
      </c>
    </row>
    <row r="644" spans="1:12" s="174" customFormat="1" ht="47.25">
      <c r="A644" s="173" t="s">
        <v>529</v>
      </c>
      <c r="B644" s="120" t="s">
        <v>82</v>
      </c>
      <c r="C644" s="172" t="s">
        <v>154</v>
      </c>
      <c r="D644" s="172" t="s">
        <v>156</v>
      </c>
      <c r="E644" s="68" t="s">
        <v>634</v>
      </c>
      <c r="F644" s="172" t="s">
        <v>528</v>
      </c>
      <c r="G644" s="167"/>
      <c r="H644" s="381">
        <v>0</v>
      </c>
      <c r="I644" s="167"/>
      <c r="J644" s="381">
        <v>0</v>
      </c>
      <c r="K644" s="680">
        <f t="shared" si="55"/>
        <v>0</v>
      </c>
      <c r="L644" s="680">
        <f t="shared" si="56"/>
        <v>0</v>
      </c>
    </row>
    <row r="645" spans="1:12" s="174" customFormat="1" ht="47.25">
      <c r="A645" s="173" t="s">
        <v>447</v>
      </c>
      <c r="B645" s="120" t="s">
        <v>82</v>
      </c>
      <c r="C645" s="172" t="s">
        <v>154</v>
      </c>
      <c r="D645" s="172" t="s">
        <v>156</v>
      </c>
      <c r="E645" s="68" t="s">
        <v>634</v>
      </c>
      <c r="F645" s="172" t="s">
        <v>334</v>
      </c>
      <c r="G645" s="167">
        <f>4688.137-732.12126-2713.50137-301.369</f>
        <v>941.14536999999984</v>
      </c>
      <c r="H645" s="381">
        <v>0</v>
      </c>
      <c r="I645" s="167">
        <v>4688.1369999999997</v>
      </c>
      <c r="J645" s="381">
        <v>0</v>
      </c>
      <c r="K645" s="680">
        <f t="shared" si="55"/>
        <v>-3746.99163</v>
      </c>
      <c r="L645" s="680">
        <f t="shared" si="56"/>
        <v>0</v>
      </c>
    </row>
    <row r="646" spans="1:12" s="170" customFormat="1" ht="31.5">
      <c r="A646" s="175" t="s">
        <v>317</v>
      </c>
      <c r="B646" s="120" t="s">
        <v>82</v>
      </c>
      <c r="C646" s="172" t="s">
        <v>154</v>
      </c>
      <c r="D646" s="172" t="s">
        <v>156</v>
      </c>
      <c r="E646" s="68" t="s">
        <v>634</v>
      </c>
      <c r="F646" s="172" t="s">
        <v>318</v>
      </c>
      <c r="G646" s="167">
        <v>1856.6</v>
      </c>
      <c r="H646" s="381">
        <v>0</v>
      </c>
      <c r="I646" s="167">
        <v>1856.6</v>
      </c>
      <c r="J646" s="381">
        <v>0</v>
      </c>
      <c r="K646" s="680">
        <f t="shared" si="55"/>
        <v>0</v>
      </c>
      <c r="L646" s="680">
        <f t="shared" si="56"/>
        <v>0</v>
      </c>
    </row>
    <row r="647" spans="1:12" s="170" customFormat="1" ht="31.5">
      <c r="A647" s="123" t="s">
        <v>209</v>
      </c>
      <c r="B647" s="120" t="s">
        <v>82</v>
      </c>
      <c r="C647" s="172" t="s">
        <v>154</v>
      </c>
      <c r="D647" s="172" t="s">
        <v>156</v>
      </c>
      <c r="E647" s="68" t="s">
        <v>634</v>
      </c>
      <c r="F647" s="172" t="s">
        <v>312</v>
      </c>
      <c r="G647" s="167">
        <f>51.9+2224.8+905.276+800+100+329.35+250+100+65+96.623-2300+905.3</f>
        <v>3528.2489999999998</v>
      </c>
      <c r="H647" s="381">
        <v>0</v>
      </c>
      <c r="I647" s="167">
        <f>51.9+2224.8+905.276+800+100+329.35+250+100+65+96.623</f>
        <v>4922.9489999999996</v>
      </c>
      <c r="J647" s="381">
        <v>0</v>
      </c>
      <c r="K647" s="680">
        <f t="shared" si="55"/>
        <v>-1394.6999999999998</v>
      </c>
      <c r="L647" s="680">
        <f t="shared" si="56"/>
        <v>0</v>
      </c>
    </row>
    <row r="648" spans="1:12" s="170" customFormat="1">
      <c r="A648" s="730" t="s">
        <v>745</v>
      </c>
      <c r="B648" s="120" t="s">
        <v>82</v>
      </c>
      <c r="C648" s="172" t="s">
        <v>154</v>
      </c>
      <c r="D648" s="172" t="s">
        <v>156</v>
      </c>
      <c r="E648" s="68" t="s">
        <v>634</v>
      </c>
      <c r="F648" s="172" t="s">
        <v>744</v>
      </c>
      <c r="G648" s="167">
        <v>618.6</v>
      </c>
      <c r="H648" s="381">
        <v>0</v>
      </c>
      <c r="I648" s="167">
        <v>618.6</v>
      </c>
      <c r="J648" s="381">
        <v>0</v>
      </c>
      <c r="K648" s="680">
        <f t="shared" si="55"/>
        <v>0</v>
      </c>
      <c r="L648" s="680">
        <f t="shared" si="56"/>
        <v>0</v>
      </c>
    </row>
    <row r="649" spans="1:12" s="63" customFormat="1" hidden="1">
      <c r="A649" s="48" t="s">
        <v>314</v>
      </c>
      <c r="B649" s="120" t="s">
        <v>82</v>
      </c>
      <c r="C649" s="68" t="s">
        <v>154</v>
      </c>
      <c r="D649" s="68" t="s">
        <v>156</v>
      </c>
      <c r="E649" s="68" t="s">
        <v>634</v>
      </c>
      <c r="F649" s="82">
        <v>851</v>
      </c>
      <c r="G649" s="81"/>
      <c r="H649" s="735">
        <v>0</v>
      </c>
      <c r="I649" s="81"/>
      <c r="J649" s="735">
        <v>0</v>
      </c>
      <c r="K649" s="680">
        <f t="shared" si="55"/>
        <v>0</v>
      </c>
      <c r="L649" s="680">
        <f t="shared" si="56"/>
        <v>0</v>
      </c>
    </row>
    <row r="650" spans="1:12" s="63" customFormat="1">
      <c r="A650" s="48" t="s">
        <v>210</v>
      </c>
      <c r="B650" s="120" t="s">
        <v>82</v>
      </c>
      <c r="C650" s="68" t="s">
        <v>154</v>
      </c>
      <c r="D650" s="68" t="s">
        <v>156</v>
      </c>
      <c r="E650" s="68" t="s">
        <v>634</v>
      </c>
      <c r="F650" s="82">
        <v>852</v>
      </c>
      <c r="G650" s="81">
        <v>20</v>
      </c>
      <c r="H650" s="735"/>
      <c r="I650" s="81">
        <v>20</v>
      </c>
      <c r="J650" s="735"/>
      <c r="K650" s="680">
        <f t="shared" si="55"/>
        <v>0</v>
      </c>
      <c r="L650" s="680">
        <f t="shared" si="56"/>
        <v>0</v>
      </c>
    </row>
    <row r="651" spans="1:12" s="63" customFormat="1" ht="31.5" hidden="1">
      <c r="A651" s="164" t="s">
        <v>1069</v>
      </c>
      <c r="B651" s="120" t="s">
        <v>82</v>
      </c>
      <c r="C651" s="68" t="s">
        <v>154</v>
      </c>
      <c r="D651" s="68" t="s">
        <v>156</v>
      </c>
      <c r="E651" s="120" t="s">
        <v>1070</v>
      </c>
      <c r="F651" s="70"/>
      <c r="G651" s="81">
        <f>G652+G653</f>
        <v>0</v>
      </c>
      <c r="H651" s="735">
        <f>H652+H653</f>
        <v>0</v>
      </c>
      <c r="I651" s="81">
        <f>I652+I653</f>
        <v>0</v>
      </c>
      <c r="J651" s="735">
        <f>J652+J653</f>
        <v>0</v>
      </c>
      <c r="K651" s="680">
        <f t="shared" si="55"/>
        <v>0</v>
      </c>
      <c r="L651" s="680">
        <f t="shared" si="56"/>
        <v>0</v>
      </c>
    </row>
    <row r="652" spans="1:12" s="63" customFormat="1" hidden="1">
      <c r="A652" s="173" t="s">
        <v>446</v>
      </c>
      <c r="B652" s="120" t="s">
        <v>82</v>
      </c>
      <c r="C652" s="68" t="s">
        <v>154</v>
      </c>
      <c r="D652" s="68" t="s">
        <v>156</v>
      </c>
      <c r="E652" s="120" t="s">
        <v>1070</v>
      </c>
      <c r="F652" s="70">
        <v>111</v>
      </c>
      <c r="G652" s="81"/>
      <c r="H652" s="735">
        <f>G652</f>
        <v>0</v>
      </c>
      <c r="I652" s="81"/>
      <c r="J652" s="735">
        <f>I652</f>
        <v>0</v>
      </c>
      <c r="K652" s="680">
        <f t="shared" si="55"/>
        <v>0</v>
      </c>
      <c r="L652" s="680">
        <f t="shared" si="56"/>
        <v>0</v>
      </c>
    </row>
    <row r="653" spans="1:12" s="63" customFormat="1" ht="47.25" hidden="1">
      <c r="A653" s="173" t="s">
        <v>447</v>
      </c>
      <c r="B653" s="120" t="s">
        <v>82</v>
      </c>
      <c r="C653" s="68" t="s">
        <v>154</v>
      </c>
      <c r="D653" s="68" t="s">
        <v>156</v>
      </c>
      <c r="E653" s="120" t="s">
        <v>1070</v>
      </c>
      <c r="F653" s="70">
        <v>119</v>
      </c>
      <c r="G653" s="81"/>
      <c r="H653" s="735">
        <f>G653</f>
        <v>0</v>
      </c>
      <c r="I653" s="81"/>
      <c r="J653" s="735">
        <f>I653</f>
        <v>0</v>
      </c>
      <c r="K653" s="680">
        <f t="shared" si="55"/>
        <v>0</v>
      </c>
      <c r="L653" s="680">
        <f t="shared" si="56"/>
        <v>0</v>
      </c>
    </row>
    <row r="654" spans="1:12" s="63" customFormat="1" ht="47.25">
      <c r="A654" s="48" t="s">
        <v>335</v>
      </c>
      <c r="B654" s="120" t="s">
        <v>82</v>
      </c>
      <c r="C654" s="68" t="s">
        <v>154</v>
      </c>
      <c r="D654" s="68" t="s">
        <v>156</v>
      </c>
      <c r="E654" s="68" t="s">
        <v>635</v>
      </c>
      <c r="F654" s="82"/>
      <c r="G654" s="81">
        <f>G655+G656</f>
        <v>48.7</v>
      </c>
      <c r="H654" s="81">
        <f>H655+H656</f>
        <v>48.7</v>
      </c>
      <c r="I654" s="81">
        <f>I655+I656</f>
        <v>48.7</v>
      </c>
      <c r="J654" s="81">
        <f>J655+J656</f>
        <v>48.7</v>
      </c>
      <c r="K654" s="680">
        <f t="shared" si="55"/>
        <v>0</v>
      </c>
      <c r="L654" s="680">
        <f t="shared" si="56"/>
        <v>0</v>
      </c>
    </row>
    <row r="655" spans="1:12" s="63" customFormat="1">
      <c r="A655" s="173" t="s">
        <v>446</v>
      </c>
      <c r="B655" s="120" t="s">
        <v>82</v>
      </c>
      <c r="C655" s="68" t="s">
        <v>154</v>
      </c>
      <c r="D655" s="68" t="s">
        <v>156</v>
      </c>
      <c r="E655" s="68" t="s">
        <v>635</v>
      </c>
      <c r="F655" s="82">
        <v>111</v>
      </c>
      <c r="G655" s="81">
        <v>37.40399</v>
      </c>
      <c r="H655" s="735">
        <f>G655</f>
        <v>37.40399</v>
      </c>
      <c r="I655" s="81">
        <v>37.40399</v>
      </c>
      <c r="J655" s="735">
        <f>I655</f>
        <v>37.40399</v>
      </c>
      <c r="K655" s="680">
        <f t="shared" si="55"/>
        <v>0</v>
      </c>
      <c r="L655" s="680">
        <f t="shared" si="56"/>
        <v>0</v>
      </c>
    </row>
    <row r="656" spans="1:12" s="63" customFormat="1" ht="47.25">
      <c r="A656" s="173" t="s">
        <v>447</v>
      </c>
      <c r="B656" s="120" t="s">
        <v>82</v>
      </c>
      <c r="C656" s="68" t="s">
        <v>154</v>
      </c>
      <c r="D656" s="68" t="s">
        <v>156</v>
      </c>
      <c r="E656" s="68" t="s">
        <v>635</v>
      </c>
      <c r="F656" s="82">
        <v>119</v>
      </c>
      <c r="G656" s="81">
        <v>11.296010000000001</v>
      </c>
      <c r="H656" s="735">
        <f>G656</f>
        <v>11.296010000000001</v>
      </c>
      <c r="I656" s="81">
        <v>11.296010000000001</v>
      </c>
      <c r="J656" s="735">
        <f>I656</f>
        <v>11.296010000000001</v>
      </c>
      <c r="K656" s="680">
        <f t="shared" si="55"/>
        <v>0</v>
      </c>
      <c r="L656" s="680">
        <f t="shared" si="56"/>
        <v>0</v>
      </c>
    </row>
    <row r="657" spans="1:12" s="63" customFormat="1" ht="94.5">
      <c r="A657" s="49" t="s">
        <v>411</v>
      </c>
      <c r="B657" s="120" t="s">
        <v>82</v>
      </c>
      <c r="C657" s="67" t="s">
        <v>154</v>
      </c>
      <c r="D657" s="67" t="s">
        <v>156</v>
      </c>
      <c r="E657" s="179"/>
      <c r="F657" s="67"/>
      <c r="G657" s="80">
        <f>G658+G659</f>
        <v>87.1</v>
      </c>
      <c r="H657" s="80">
        <f>H658+H659</f>
        <v>87.1</v>
      </c>
      <c r="I657" s="80">
        <f>I658+I659</f>
        <v>87.1</v>
      </c>
      <c r="J657" s="80">
        <f>J658+J659</f>
        <v>87.1</v>
      </c>
      <c r="K657" s="680">
        <f t="shared" si="55"/>
        <v>0</v>
      </c>
      <c r="L657" s="680">
        <f t="shared" si="56"/>
        <v>0</v>
      </c>
    </row>
    <row r="658" spans="1:12">
      <c r="A658" s="173" t="s">
        <v>446</v>
      </c>
      <c r="B658" s="120" t="s">
        <v>82</v>
      </c>
      <c r="C658" s="68" t="s">
        <v>154</v>
      </c>
      <c r="D658" s="68" t="s">
        <v>156</v>
      </c>
      <c r="E658" s="68" t="s">
        <v>636</v>
      </c>
      <c r="F658" s="68" t="s">
        <v>332</v>
      </c>
      <c r="G658" s="81">
        <v>66.897080000000003</v>
      </c>
      <c r="H658" s="81">
        <f>G658</f>
        <v>66.897080000000003</v>
      </c>
      <c r="I658" s="81">
        <v>66.897080000000003</v>
      </c>
      <c r="J658" s="81">
        <f>I658</f>
        <v>66.897080000000003</v>
      </c>
      <c r="K658" s="680">
        <f t="shared" si="55"/>
        <v>0</v>
      </c>
      <c r="L658" s="680">
        <f t="shared" si="56"/>
        <v>0</v>
      </c>
    </row>
    <row r="659" spans="1:12" ht="47.25">
      <c r="A659" s="441" t="s">
        <v>447</v>
      </c>
      <c r="B659" s="120" t="s">
        <v>82</v>
      </c>
      <c r="C659" s="68" t="s">
        <v>154</v>
      </c>
      <c r="D659" s="68" t="s">
        <v>156</v>
      </c>
      <c r="E659" s="68" t="s">
        <v>636</v>
      </c>
      <c r="F659" s="68" t="s">
        <v>334</v>
      </c>
      <c r="G659" s="81">
        <v>20.202919999999999</v>
      </c>
      <c r="H659" s="81">
        <f>G659</f>
        <v>20.202919999999999</v>
      </c>
      <c r="I659" s="81">
        <v>20.202919999999999</v>
      </c>
      <c r="J659" s="81">
        <f>I659</f>
        <v>20.202919999999999</v>
      </c>
      <c r="K659" s="680">
        <f t="shared" si="55"/>
        <v>0</v>
      </c>
      <c r="L659" s="680">
        <f t="shared" si="56"/>
        <v>0</v>
      </c>
    </row>
    <row r="660" spans="1:12" ht="63">
      <c r="A660" s="46" t="s">
        <v>570</v>
      </c>
      <c r="B660" s="120" t="s">
        <v>82</v>
      </c>
      <c r="C660" s="67" t="s">
        <v>154</v>
      </c>
      <c r="D660" s="67" t="s">
        <v>156</v>
      </c>
      <c r="E660" s="67" t="s">
        <v>637</v>
      </c>
      <c r="F660" s="67"/>
      <c r="G660" s="119">
        <f>G661+G662</f>
        <v>26784.00186</v>
      </c>
      <c r="H660" s="119">
        <f>H661+H662</f>
        <v>26784.00186</v>
      </c>
      <c r="I660" s="119">
        <f>I661+I662</f>
        <v>0</v>
      </c>
      <c r="J660" s="119">
        <f>J661+J662</f>
        <v>0</v>
      </c>
      <c r="K660" s="680">
        <f t="shared" si="55"/>
        <v>26784.00186</v>
      </c>
      <c r="L660" s="680">
        <f t="shared" si="56"/>
        <v>26784.00186</v>
      </c>
    </row>
    <row r="661" spans="1:12">
      <c r="A661" s="173" t="s">
        <v>446</v>
      </c>
      <c r="B661" s="120" t="s">
        <v>82</v>
      </c>
      <c r="C661" s="68" t="s">
        <v>154</v>
      </c>
      <c r="D661" s="68" t="s">
        <v>156</v>
      </c>
      <c r="E661" s="68" t="s">
        <v>637</v>
      </c>
      <c r="F661" s="68" t="s">
        <v>332</v>
      </c>
      <c r="G661" s="81">
        <v>20571.43</v>
      </c>
      <c r="H661" s="81">
        <f t="shared" ref="H661:H662" si="64">G661</f>
        <v>20571.43</v>
      </c>
      <c r="I661" s="81"/>
      <c r="J661" s="81">
        <f t="shared" ref="J661:J662" si="65">I661</f>
        <v>0</v>
      </c>
      <c r="K661" s="680">
        <f t="shared" si="55"/>
        <v>20571.43</v>
      </c>
      <c r="L661" s="680">
        <f t="shared" si="56"/>
        <v>20571.43</v>
      </c>
    </row>
    <row r="662" spans="1:12" ht="47.25">
      <c r="A662" s="441" t="s">
        <v>447</v>
      </c>
      <c r="B662" s="120" t="s">
        <v>82</v>
      </c>
      <c r="C662" s="68" t="s">
        <v>154</v>
      </c>
      <c r="D662" s="68" t="s">
        <v>156</v>
      </c>
      <c r="E662" s="68" t="s">
        <v>637</v>
      </c>
      <c r="F662" s="68" t="s">
        <v>334</v>
      </c>
      <c r="G662" s="81">
        <v>6212.57186</v>
      </c>
      <c r="H662" s="81">
        <f t="shared" si="64"/>
        <v>6212.57186</v>
      </c>
      <c r="I662" s="81"/>
      <c r="J662" s="81">
        <f t="shared" si="65"/>
        <v>0</v>
      </c>
      <c r="K662" s="680">
        <f t="shared" si="55"/>
        <v>6212.57186</v>
      </c>
      <c r="L662" s="680">
        <f t="shared" si="56"/>
        <v>6212.57186</v>
      </c>
    </row>
    <row r="663" spans="1:12" s="63" customFormat="1" ht="78.75">
      <c r="A663" s="46" t="s">
        <v>571</v>
      </c>
      <c r="B663" s="120" t="s">
        <v>82</v>
      </c>
      <c r="C663" s="67" t="s">
        <v>154</v>
      </c>
      <c r="D663" s="67" t="s">
        <v>156</v>
      </c>
      <c r="E663" s="68" t="s">
        <v>637</v>
      </c>
      <c r="F663" s="67"/>
      <c r="G663" s="119">
        <f>G664+G665</f>
        <v>1299.28</v>
      </c>
      <c r="H663" s="119">
        <f>H664+H665</f>
        <v>0</v>
      </c>
      <c r="I663" s="119">
        <f>I664+I665</f>
        <v>0</v>
      </c>
      <c r="J663" s="119">
        <f>J664+J665</f>
        <v>0</v>
      </c>
      <c r="K663" s="680">
        <f t="shared" si="55"/>
        <v>1299.28</v>
      </c>
      <c r="L663" s="680">
        <f t="shared" si="56"/>
        <v>0</v>
      </c>
    </row>
    <row r="664" spans="1:12">
      <c r="A664" s="48" t="s">
        <v>446</v>
      </c>
      <c r="B664" s="120" t="s">
        <v>82</v>
      </c>
      <c r="C664" s="68" t="s">
        <v>154</v>
      </c>
      <c r="D664" s="68" t="s">
        <v>156</v>
      </c>
      <c r="E664" s="68" t="s">
        <v>637</v>
      </c>
      <c r="F664" s="68" t="s">
        <v>332</v>
      </c>
      <c r="G664" s="81">
        <v>997.91099999999994</v>
      </c>
      <c r="H664" s="81">
        <v>0</v>
      </c>
      <c r="I664" s="81"/>
      <c r="J664" s="81">
        <v>0</v>
      </c>
      <c r="K664" s="680">
        <f t="shared" si="55"/>
        <v>997.91099999999994</v>
      </c>
      <c r="L664" s="680">
        <f t="shared" si="56"/>
        <v>0</v>
      </c>
    </row>
    <row r="665" spans="1:12" ht="47.25">
      <c r="A665" s="441" t="s">
        <v>447</v>
      </c>
      <c r="B665" s="120" t="s">
        <v>82</v>
      </c>
      <c r="C665" s="68" t="s">
        <v>154</v>
      </c>
      <c r="D665" s="68" t="s">
        <v>156</v>
      </c>
      <c r="E665" s="68" t="s">
        <v>637</v>
      </c>
      <c r="F665" s="68" t="s">
        <v>334</v>
      </c>
      <c r="G665" s="81">
        <v>301.36900000000003</v>
      </c>
      <c r="H665" s="81">
        <v>0</v>
      </c>
      <c r="I665" s="81"/>
      <c r="J665" s="81">
        <v>0</v>
      </c>
      <c r="K665" s="680">
        <f t="shared" si="55"/>
        <v>301.36900000000003</v>
      </c>
      <c r="L665" s="680">
        <f t="shared" si="56"/>
        <v>0</v>
      </c>
    </row>
    <row r="666" spans="1:12" ht="31.5">
      <c r="A666" s="564" t="s">
        <v>706</v>
      </c>
      <c r="B666" s="155" t="s">
        <v>82</v>
      </c>
      <c r="C666" s="155" t="s">
        <v>154</v>
      </c>
      <c r="D666" s="155" t="s">
        <v>156</v>
      </c>
      <c r="E666" s="158" t="s">
        <v>713</v>
      </c>
      <c r="F666" s="155"/>
      <c r="G666" s="163">
        <f>G667</f>
        <v>322.68</v>
      </c>
      <c r="H666" s="163">
        <v>0</v>
      </c>
      <c r="I666" s="163">
        <f>I667</f>
        <v>322.68</v>
      </c>
      <c r="J666" s="163">
        <v>0</v>
      </c>
      <c r="K666" s="680">
        <f t="shared" si="55"/>
        <v>0</v>
      </c>
      <c r="L666" s="680">
        <f t="shared" si="56"/>
        <v>0</v>
      </c>
    </row>
    <row r="667" spans="1:12" ht="34.5" customHeight="1">
      <c r="A667" s="564" t="s">
        <v>720</v>
      </c>
      <c r="B667" s="155" t="s">
        <v>82</v>
      </c>
      <c r="C667" s="155" t="s">
        <v>154</v>
      </c>
      <c r="D667" s="155" t="s">
        <v>156</v>
      </c>
      <c r="E667" s="158" t="s">
        <v>714</v>
      </c>
      <c r="F667" s="155"/>
      <c r="G667" s="163">
        <f>G668</f>
        <v>322.68</v>
      </c>
      <c r="H667" s="163">
        <v>0</v>
      </c>
      <c r="I667" s="163">
        <f>I668</f>
        <v>322.68</v>
      </c>
      <c r="J667" s="163">
        <v>0</v>
      </c>
      <c r="K667" s="680">
        <f t="shared" si="55"/>
        <v>0</v>
      </c>
      <c r="L667" s="680">
        <f t="shared" si="56"/>
        <v>0</v>
      </c>
    </row>
    <row r="668" spans="1:12" s="174" customFormat="1" ht="31.5">
      <c r="A668" s="164" t="s">
        <v>763</v>
      </c>
      <c r="B668" s="120" t="s">
        <v>82</v>
      </c>
      <c r="C668" s="68" t="s">
        <v>154</v>
      </c>
      <c r="D668" s="68" t="s">
        <v>156</v>
      </c>
      <c r="E668" s="276" t="s">
        <v>719</v>
      </c>
      <c r="F668" s="172"/>
      <c r="G668" s="167">
        <f>G669</f>
        <v>322.68</v>
      </c>
      <c r="H668" s="167">
        <v>0</v>
      </c>
      <c r="I668" s="167">
        <f>I669</f>
        <v>322.68</v>
      </c>
      <c r="J668" s="167">
        <v>0</v>
      </c>
      <c r="K668" s="680">
        <f t="shared" si="55"/>
        <v>0</v>
      </c>
      <c r="L668" s="680">
        <f t="shared" si="56"/>
        <v>0</v>
      </c>
    </row>
    <row r="669" spans="1:12">
      <c r="A669" s="173" t="s">
        <v>779</v>
      </c>
      <c r="B669" s="120" t="s">
        <v>82</v>
      </c>
      <c r="C669" s="68" t="s">
        <v>154</v>
      </c>
      <c r="D669" s="68" t="s">
        <v>156</v>
      </c>
      <c r="E669" s="276" t="s">
        <v>719</v>
      </c>
      <c r="F669" s="68" t="s">
        <v>333</v>
      </c>
      <c r="G669" s="81">
        <v>322.68</v>
      </c>
      <c r="H669" s="81">
        <v>0</v>
      </c>
      <c r="I669" s="81">
        <v>322.68</v>
      </c>
      <c r="J669" s="81">
        <v>0</v>
      </c>
      <c r="K669" s="680">
        <f t="shared" si="55"/>
        <v>0</v>
      </c>
      <c r="L669" s="680">
        <f t="shared" si="56"/>
        <v>0</v>
      </c>
    </row>
    <row r="670" spans="1:12">
      <c r="A670" s="51" t="s">
        <v>302</v>
      </c>
      <c r="B670" s="271" t="s">
        <v>82</v>
      </c>
      <c r="C670" s="75" t="s">
        <v>157</v>
      </c>
      <c r="D670" s="75" t="s">
        <v>155</v>
      </c>
      <c r="E670" s="78"/>
      <c r="F670" s="75"/>
      <c r="G670" s="76">
        <f>G672+G675</f>
        <v>1500</v>
      </c>
      <c r="H670" s="76">
        <f>H672+H675</f>
        <v>1500</v>
      </c>
      <c r="I670" s="76">
        <f>I672+I675</f>
        <v>1500</v>
      </c>
      <c r="J670" s="76">
        <f>J672+J675</f>
        <v>1500</v>
      </c>
      <c r="K670" s="680">
        <f t="shared" ref="K670:K733" si="66">G670-I670</f>
        <v>0</v>
      </c>
      <c r="L670" s="680">
        <f t="shared" ref="L670:L733" si="67">H670-J670</f>
        <v>0</v>
      </c>
    </row>
    <row r="671" spans="1:12" ht="47.25">
      <c r="A671" s="570" t="s">
        <v>948</v>
      </c>
      <c r="B671" s="155" t="s">
        <v>82</v>
      </c>
      <c r="C671" s="155" t="s">
        <v>157</v>
      </c>
      <c r="D671" s="155" t="s">
        <v>155</v>
      </c>
      <c r="E671" s="571" t="s">
        <v>574</v>
      </c>
      <c r="F671" s="155"/>
      <c r="G671" s="163">
        <f>G672+G675</f>
        <v>1500</v>
      </c>
      <c r="H671" s="163">
        <f>H672+H675</f>
        <v>1500</v>
      </c>
      <c r="I671" s="163">
        <f>I672+I675</f>
        <v>1500</v>
      </c>
      <c r="J671" s="163">
        <f>J672+J675</f>
        <v>1500</v>
      </c>
      <c r="K671" s="680">
        <f t="shared" si="66"/>
        <v>0</v>
      </c>
      <c r="L671" s="680">
        <f t="shared" si="67"/>
        <v>0</v>
      </c>
    </row>
    <row r="672" spans="1:12" ht="31.5">
      <c r="A672" s="277" t="s">
        <v>354</v>
      </c>
      <c r="B672" s="120" t="s">
        <v>82</v>
      </c>
      <c r="C672" s="68" t="s">
        <v>157</v>
      </c>
      <c r="D672" s="68" t="s">
        <v>155</v>
      </c>
      <c r="E672" s="68" t="s">
        <v>575</v>
      </c>
      <c r="F672" s="68"/>
      <c r="G672" s="81">
        <f>G673</f>
        <v>1400</v>
      </c>
      <c r="H672" s="81">
        <f>H673</f>
        <v>1400</v>
      </c>
      <c r="I672" s="81">
        <f>I673</f>
        <v>1400</v>
      </c>
      <c r="J672" s="81">
        <f>J673</f>
        <v>1400</v>
      </c>
      <c r="K672" s="680">
        <f t="shared" si="66"/>
        <v>0</v>
      </c>
      <c r="L672" s="680">
        <f t="shared" si="67"/>
        <v>0</v>
      </c>
    </row>
    <row r="673" spans="1:12" ht="220.5">
      <c r="A673" s="247" t="s">
        <v>525</v>
      </c>
      <c r="B673" s="120" t="s">
        <v>82</v>
      </c>
      <c r="C673" s="68" t="s">
        <v>157</v>
      </c>
      <c r="D673" s="68" t="s">
        <v>155</v>
      </c>
      <c r="E673" s="67"/>
      <c r="F673" s="68"/>
      <c r="G673" s="81">
        <f>G674</f>
        <v>1400</v>
      </c>
      <c r="H673" s="81">
        <f t="shared" ref="H673:H674" si="68">G673</f>
        <v>1400</v>
      </c>
      <c r="I673" s="81">
        <f>I674</f>
        <v>1400</v>
      </c>
      <c r="J673" s="81">
        <f t="shared" ref="J673:J674" si="69">I673</f>
        <v>1400</v>
      </c>
      <c r="K673" s="680">
        <f t="shared" si="66"/>
        <v>0</v>
      </c>
      <c r="L673" s="680">
        <f t="shared" si="67"/>
        <v>0</v>
      </c>
    </row>
    <row r="674" spans="1:12">
      <c r="A674" s="138" t="s">
        <v>205</v>
      </c>
      <c r="B674" s="120" t="s">
        <v>82</v>
      </c>
      <c r="C674" s="68" t="s">
        <v>157</v>
      </c>
      <c r="D674" s="68" t="s">
        <v>155</v>
      </c>
      <c r="E674" s="120" t="s">
        <v>655</v>
      </c>
      <c r="F674" s="120" t="s">
        <v>202</v>
      </c>
      <c r="G674" s="81">
        <v>1400</v>
      </c>
      <c r="H674" s="81">
        <f t="shared" si="68"/>
        <v>1400</v>
      </c>
      <c r="I674" s="81">
        <v>1400</v>
      </c>
      <c r="J674" s="81">
        <f t="shared" si="69"/>
        <v>1400</v>
      </c>
      <c r="K674" s="680">
        <f t="shared" si="66"/>
        <v>0</v>
      </c>
      <c r="L674" s="680">
        <f t="shared" si="67"/>
        <v>0</v>
      </c>
    </row>
    <row r="675" spans="1:12" ht="47.25">
      <c r="A675" s="569" t="s">
        <v>352</v>
      </c>
      <c r="B675" s="120" t="s">
        <v>82</v>
      </c>
      <c r="C675" s="68" t="s">
        <v>157</v>
      </c>
      <c r="D675" s="68" t="s">
        <v>155</v>
      </c>
      <c r="E675" s="120" t="s">
        <v>669</v>
      </c>
      <c r="F675" s="120"/>
      <c r="G675" s="81">
        <f t="shared" ref="G675:J676" si="70">G676</f>
        <v>100</v>
      </c>
      <c r="H675" s="81">
        <f t="shared" si="70"/>
        <v>100</v>
      </c>
      <c r="I675" s="81">
        <f t="shared" si="70"/>
        <v>100</v>
      </c>
      <c r="J675" s="81">
        <f t="shared" si="70"/>
        <v>100</v>
      </c>
      <c r="K675" s="680">
        <f t="shared" si="66"/>
        <v>0</v>
      </c>
      <c r="L675" s="680">
        <f t="shared" si="67"/>
        <v>0</v>
      </c>
    </row>
    <row r="676" spans="1:12" ht="231.75" customHeight="1">
      <c r="A676" s="247" t="s">
        <v>525</v>
      </c>
      <c r="B676" s="120" t="s">
        <v>82</v>
      </c>
      <c r="C676" s="68" t="s">
        <v>157</v>
      </c>
      <c r="D676" s="68" t="s">
        <v>155</v>
      </c>
      <c r="E676" s="120" t="s">
        <v>669</v>
      </c>
      <c r="F676" s="120"/>
      <c r="G676" s="81">
        <f>G677</f>
        <v>100</v>
      </c>
      <c r="H676" s="81">
        <f t="shared" si="70"/>
        <v>100</v>
      </c>
      <c r="I676" s="81">
        <f>I677</f>
        <v>100</v>
      </c>
      <c r="J676" s="81">
        <f t="shared" si="70"/>
        <v>100</v>
      </c>
      <c r="K676" s="680">
        <f t="shared" si="66"/>
        <v>0</v>
      </c>
      <c r="L676" s="680">
        <f t="shared" si="67"/>
        <v>0</v>
      </c>
    </row>
    <row r="677" spans="1:12">
      <c r="A677" s="138" t="s">
        <v>205</v>
      </c>
      <c r="B677" s="120" t="s">
        <v>82</v>
      </c>
      <c r="C677" s="68" t="s">
        <v>157</v>
      </c>
      <c r="D677" s="68" t="s">
        <v>155</v>
      </c>
      <c r="E677" s="120" t="s">
        <v>669</v>
      </c>
      <c r="F677" s="120" t="s">
        <v>202</v>
      </c>
      <c r="G677" s="81">
        <v>100</v>
      </c>
      <c r="H677" s="81">
        <f>G677</f>
        <v>100</v>
      </c>
      <c r="I677" s="81">
        <v>100</v>
      </c>
      <c r="J677" s="81">
        <f>I677</f>
        <v>100</v>
      </c>
      <c r="K677" s="680">
        <f t="shared" si="66"/>
        <v>0</v>
      </c>
      <c r="L677" s="680">
        <f t="shared" si="67"/>
        <v>0</v>
      </c>
    </row>
    <row r="678" spans="1:12" ht="37.5">
      <c r="A678" s="444" t="s">
        <v>458</v>
      </c>
      <c r="B678" s="445" t="s">
        <v>457</v>
      </c>
      <c r="C678" s="446"/>
      <c r="D678" s="446"/>
      <c r="E678" s="445"/>
      <c r="F678" s="445"/>
      <c r="G678" s="447">
        <f>G679+G696+G715+G749+G744</f>
        <v>123219.72679</v>
      </c>
      <c r="H678" s="447">
        <f>H679+H696+H715+H749+H744</f>
        <v>87926.5</v>
      </c>
      <c r="I678" s="447">
        <f>I679+I696+I715+I749+I744</f>
        <v>939345.20162000007</v>
      </c>
      <c r="J678" s="447">
        <f>J679+J696+J715+J749+J744</f>
        <v>905235.9</v>
      </c>
      <c r="K678" s="680">
        <f t="shared" si="66"/>
        <v>-816125.47483000008</v>
      </c>
      <c r="L678" s="680">
        <f t="shared" si="67"/>
        <v>-817309.4</v>
      </c>
    </row>
    <row r="679" spans="1:12">
      <c r="A679" s="51" t="s">
        <v>206</v>
      </c>
      <c r="B679" s="78" t="s">
        <v>457</v>
      </c>
      <c r="C679" s="78" t="s">
        <v>161</v>
      </c>
      <c r="D679" s="78" t="s">
        <v>156</v>
      </c>
      <c r="E679" s="78"/>
      <c r="F679" s="78"/>
      <c r="G679" s="79">
        <f>G680</f>
        <v>82405.687999999995</v>
      </c>
      <c r="H679" s="79">
        <f t="shared" ref="H679:J679" si="71">H680</f>
        <v>69820.399999999994</v>
      </c>
      <c r="I679" s="79">
        <f>I680</f>
        <v>82405.687999999995</v>
      </c>
      <c r="J679" s="79">
        <f t="shared" si="71"/>
        <v>69820.399999999994</v>
      </c>
      <c r="K679" s="680">
        <f t="shared" si="66"/>
        <v>0</v>
      </c>
      <c r="L679" s="680">
        <f t="shared" si="67"/>
        <v>0</v>
      </c>
    </row>
    <row r="680" spans="1:12" ht="38.25" customHeight="1">
      <c r="A680" s="399" t="s">
        <v>549</v>
      </c>
      <c r="B680" s="545" t="s">
        <v>457</v>
      </c>
      <c r="C680" s="545" t="s">
        <v>161</v>
      </c>
      <c r="D680" s="545" t="s">
        <v>156</v>
      </c>
      <c r="E680" s="546" t="s">
        <v>679</v>
      </c>
      <c r="F680" s="545"/>
      <c r="G680" s="547">
        <f>G681+G684+G686+G688+G690+G692</f>
        <v>82405.687999999995</v>
      </c>
      <c r="H680" s="547">
        <f>H681+H684+H686+H688+H692</f>
        <v>69820.399999999994</v>
      </c>
      <c r="I680" s="547">
        <f>I681+I684+I686+I688+I690+I692</f>
        <v>82405.687999999995</v>
      </c>
      <c r="J680" s="547">
        <f>J681+J684+J686+J688+J692</f>
        <v>69820.399999999994</v>
      </c>
      <c r="K680" s="680">
        <f t="shared" si="66"/>
        <v>0</v>
      </c>
      <c r="L680" s="680">
        <f t="shared" si="67"/>
        <v>0</v>
      </c>
    </row>
    <row r="681" spans="1:12" ht="78.75">
      <c r="A681" s="133" t="s">
        <v>643</v>
      </c>
      <c r="B681" s="67" t="s">
        <v>457</v>
      </c>
      <c r="C681" s="67" t="s">
        <v>161</v>
      </c>
      <c r="D681" s="67" t="s">
        <v>156</v>
      </c>
      <c r="E681" s="508" t="s">
        <v>679</v>
      </c>
      <c r="F681" s="67"/>
      <c r="G681" s="80">
        <f>G682+G683</f>
        <v>12585.288</v>
      </c>
      <c r="H681" s="80">
        <f>H682</f>
        <v>0</v>
      </c>
      <c r="I681" s="80">
        <f>I682+I683</f>
        <v>12585.288</v>
      </c>
      <c r="J681" s="80">
        <f>J682</f>
        <v>0</v>
      </c>
      <c r="K681" s="680">
        <f t="shared" si="66"/>
        <v>0</v>
      </c>
      <c r="L681" s="680">
        <f t="shared" si="67"/>
        <v>0</v>
      </c>
    </row>
    <row r="682" spans="1:12" ht="31.5">
      <c r="A682" s="123" t="s">
        <v>209</v>
      </c>
      <c r="B682" s="68" t="s">
        <v>457</v>
      </c>
      <c r="C682" s="67" t="s">
        <v>161</v>
      </c>
      <c r="D682" s="67" t="s">
        <v>156</v>
      </c>
      <c r="E682" s="508" t="s">
        <v>550</v>
      </c>
      <c r="F682" s="68" t="s">
        <v>312</v>
      </c>
      <c r="G682" s="81">
        <f>12585.288-3720</f>
        <v>8865.2880000000005</v>
      </c>
      <c r="H682" s="81">
        <v>0</v>
      </c>
      <c r="I682" s="81">
        <f>12585.288-2907.111</f>
        <v>9678.1769999999997</v>
      </c>
      <c r="J682" s="81">
        <v>0</v>
      </c>
      <c r="K682" s="680">
        <f t="shared" si="66"/>
        <v>-812.88899999999921</v>
      </c>
      <c r="L682" s="680">
        <f t="shared" si="67"/>
        <v>0</v>
      </c>
    </row>
    <row r="683" spans="1:12" ht="31.5">
      <c r="A683" s="123" t="s">
        <v>523</v>
      </c>
      <c r="B683" s="68" t="s">
        <v>457</v>
      </c>
      <c r="C683" s="67" t="s">
        <v>161</v>
      </c>
      <c r="D683" s="67" t="s">
        <v>156</v>
      </c>
      <c r="E683" s="508" t="s">
        <v>550</v>
      </c>
      <c r="F683" s="68" t="s">
        <v>71</v>
      </c>
      <c r="G683" s="81">
        <v>3720</v>
      </c>
      <c r="H683" s="81"/>
      <c r="I683" s="81">
        <v>2907.1109999999999</v>
      </c>
      <c r="J683" s="81"/>
      <c r="K683" s="680">
        <f t="shared" si="66"/>
        <v>812.88900000000012</v>
      </c>
      <c r="L683" s="680">
        <f t="shared" si="67"/>
        <v>0</v>
      </c>
    </row>
    <row r="684" spans="1:12" ht="47.25">
      <c r="A684" s="133" t="s">
        <v>547</v>
      </c>
      <c r="B684" s="68" t="s">
        <v>457</v>
      </c>
      <c r="C684" s="68" t="s">
        <v>161</v>
      </c>
      <c r="D684" s="68" t="s">
        <v>156</v>
      </c>
      <c r="E684" s="68" t="s">
        <v>893</v>
      </c>
      <c r="F684" s="68"/>
      <c r="G684" s="81">
        <f>G685</f>
        <v>50606.6</v>
      </c>
      <c r="H684" s="81">
        <f>H685</f>
        <v>50606.6</v>
      </c>
      <c r="I684" s="81">
        <f>I685</f>
        <v>50606.6</v>
      </c>
      <c r="J684" s="81">
        <f>J685</f>
        <v>50606.6</v>
      </c>
      <c r="K684" s="680">
        <f t="shared" si="66"/>
        <v>0</v>
      </c>
      <c r="L684" s="680">
        <f t="shared" si="67"/>
        <v>0</v>
      </c>
    </row>
    <row r="685" spans="1:12" ht="31.5">
      <c r="A685" s="123" t="s">
        <v>209</v>
      </c>
      <c r="B685" s="68" t="s">
        <v>457</v>
      </c>
      <c r="C685" s="68" t="s">
        <v>161</v>
      </c>
      <c r="D685" s="68" t="s">
        <v>156</v>
      </c>
      <c r="E685" s="68" t="s">
        <v>893</v>
      </c>
      <c r="F685" s="68" t="s">
        <v>312</v>
      </c>
      <c r="G685" s="81">
        <v>50606.6</v>
      </c>
      <c r="H685" s="81">
        <f>G685</f>
        <v>50606.6</v>
      </c>
      <c r="I685" s="81">
        <v>50606.6</v>
      </c>
      <c r="J685" s="81">
        <f>I685</f>
        <v>50606.6</v>
      </c>
      <c r="K685" s="680">
        <f t="shared" si="66"/>
        <v>0</v>
      </c>
      <c r="L685" s="680">
        <f t="shared" si="67"/>
        <v>0</v>
      </c>
    </row>
    <row r="686" spans="1:12" ht="63" hidden="1">
      <c r="A686" s="133" t="s">
        <v>894</v>
      </c>
      <c r="B686" s="68" t="s">
        <v>457</v>
      </c>
      <c r="C686" s="68" t="s">
        <v>161</v>
      </c>
      <c r="D686" s="68" t="s">
        <v>156</v>
      </c>
      <c r="E686" s="68" t="s">
        <v>893</v>
      </c>
      <c r="F686" s="68"/>
      <c r="G686" s="81">
        <f>G687</f>
        <v>0</v>
      </c>
      <c r="H686" s="81">
        <v>0</v>
      </c>
      <c r="I686" s="81">
        <f>I687</f>
        <v>0</v>
      </c>
      <c r="J686" s="81">
        <v>0</v>
      </c>
      <c r="K686" s="680">
        <f t="shared" si="66"/>
        <v>0</v>
      </c>
      <c r="L686" s="680">
        <f t="shared" si="67"/>
        <v>0</v>
      </c>
    </row>
    <row r="687" spans="1:12" ht="31.5" hidden="1">
      <c r="A687" s="123" t="s">
        <v>209</v>
      </c>
      <c r="B687" s="68" t="s">
        <v>457</v>
      </c>
      <c r="C687" s="68" t="s">
        <v>161</v>
      </c>
      <c r="D687" s="68" t="s">
        <v>156</v>
      </c>
      <c r="E687" s="68" t="s">
        <v>893</v>
      </c>
      <c r="F687" s="68" t="s">
        <v>312</v>
      </c>
      <c r="G687" s="81"/>
      <c r="H687" s="81">
        <v>0</v>
      </c>
      <c r="I687" s="81"/>
      <c r="J687" s="81">
        <v>0</v>
      </c>
      <c r="K687" s="680">
        <f t="shared" si="66"/>
        <v>0</v>
      </c>
      <c r="L687" s="680">
        <f t="shared" si="67"/>
        <v>0</v>
      </c>
    </row>
    <row r="688" spans="1:12" ht="94.5" customHeight="1">
      <c r="A688" s="712" t="s">
        <v>1052</v>
      </c>
      <c r="B688" s="68" t="s">
        <v>457</v>
      </c>
      <c r="C688" s="68" t="s">
        <v>161</v>
      </c>
      <c r="D688" s="68" t="s">
        <v>156</v>
      </c>
      <c r="E688" s="68" t="s">
        <v>1043</v>
      </c>
      <c r="F688" s="68"/>
      <c r="G688" s="81">
        <f>G689</f>
        <v>2887.3</v>
      </c>
      <c r="H688" s="81">
        <f>H689</f>
        <v>2887.3</v>
      </c>
      <c r="I688" s="81">
        <f>I689</f>
        <v>2887.3</v>
      </c>
      <c r="J688" s="81">
        <f>J689</f>
        <v>2887.3</v>
      </c>
      <c r="K688" s="680">
        <f t="shared" si="66"/>
        <v>0</v>
      </c>
      <c r="L688" s="680">
        <f t="shared" si="67"/>
        <v>0</v>
      </c>
    </row>
    <row r="689" spans="1:12" ht="31.5">
      <c r="A689" s="123" t="s">
        <v>209</v>
      </c>
      <c r="B689" s="68" t="s">
        <v>457</v>
      </c>
      <c r="C689" s="68" t="s">
        <v>161</v>
      </c>
      <c r="D689" s="68" t="s">
        <v>156</v>
      </c>
      <c r="E689" s="68" t="s">
        <v>1043</v>
      </c>
      <c r="F689" s="68" t="s">
        <v>312</v>
      </c>
      <c r="G689" s="81">
        <v>2887.3</v>
      </c>
      <c r="H689" s="81">
        <f>G689</f>
        <v>2887.3</v>
      </c>
      <c r="I689" s="81">
        <v>2887.3</v>
      </c>
      <c r="J689" s="81">
        <f>I689</f>
        <v>2887.3</v>
      </c>
      <c r="K689" s="680">
        <f t="shared" si="66"/>
        <v>0</v>
      </c>
      <c r="L689" s="680">
        <f t="shared" si="67"/>
        <v>0</v>
      </c>
    </row>
    <row r="690" spans="1:12" ht="94.5" hidden="1">
      <c r="A690" s="712" t="s">
        <v>1053</v>
      </c>
      <c r="B690" s="68" t="s">
        <v>457</v>
      </c>
      <c r="C690" s="68" t="s">
        <v>161</v>
      </c>
      <c r="D690" s="68" t="s">
        <v>156</v>
      </c>
      <c r="E690" s="68" t="s">
        <v>1043</v>
      </c>
      <c r="F690" s="68"/>
      <c r="G690" s="81">
        <f>G691</f>
        <v>0</v>
      </c>
      <c r="H690" s="81"/>
      <c r="I690" s="81">
        <f>I691</f>
        <v>0</v>
      </c>
      <c r="J690" s="81"/>
      <c r="K690" s="680">
        <f t="shared" si="66"/>
        <v>0</v>
      </c>
      <c r="L690" s="680">
        <f t="shared" si="67"/>
        <v>0</v>
      </c>
    </row>
    <row r="691" spans="1:12" ht="31.5" hidden="1">
      <c r="A691" s="123" t="s">
        <v>209</v>
      </c>
      <c r="B691" s="68" t="s">
        <v>457</v>
      </c>
      <c r="C691" s="68" t="s">
        <v>161</v>
      </c>
      <c r="D691" s="68" t="s">
        <v>156</v>
      </c>
      <c r="E691" s="68" t="s">
        <v>1043</v>
      </c>
      <c r="F691" s="68" t="s">
        <v>312</v>
      </c>
      <c r="G691" s="81"/>
      <c r="H691" s="81"/>
      <c r="I691" s="81"/>
      <c r="J691" s="81"/>
      <c r="K691" s="680">
        <f t="shared" si="66"/>
        <v>0</v>
      </c>
      <c r="L691" s="680">
        <f t="shared" si="67"/>
        <v>0</v>
      </c>
    </row>
    <row r="692" spans="1:12" ht="58.5" customHeight="1">
      <c r="A692" s="123" t="s">
        <v>898</v>
      </c>
      <c r="B692" s="68" t="s">
        <v>457</v>
      </c>
      <c r="C692" s="68" t="s">
        <v>161</v>
      </c>
      <c r="D692" s="68" t="s">
        <v>156</v>
      </c>
      <c r="E692" s="68" t="s">
        <v>877</v>
      </c>
      <c r="F692" s="68"/>
      <c r="G692" s="81">
        <f>G693</f>
        <v>16326.5</v>
      </c>
      <c r="H692" s="81">
        <f>H693</f>
        <v>16326.5</v>
      </c>
      <c r="I692" s="81">
        <f>I693</f>
        <v>16326.5</v>
      </c>
      <c r="J692" s="81">
        <f>J693</f>
        <v>16326.5</v>
      </c>
      <c r="K692" s="680">
        <f t="shared" si="66"/>
        <v>0</v>
      </c>
      <c r="L692" s="680">
        <f t="shared" si="67"/>
        <v>0</v>
      </c>
    </row>
    <row r="693" spans="1:12" ht="31.5">
      <c r="A693" s="123" t="s">
        <v>209</v>
      </c>
      <c r="B693" s="68" t="s">
        <v>457</v>
      </c>
      <c r="C693" s="68" t="s">
        <v>161</v>
      </c>
      <c r="D693" s="68" t="s">
        <v>156</v>
      </c>
      <c r="E693" s="68" t="s">
        <v>877</v>
      </c>
      <c r="F693" s="68" t="s">
        <v>312</v>
      </c>
      <c r="G693" s="81">
        <v>16326.5</v>
      </c>
      <c r="H693" s="81">
        <f>G693</f>
        <v>16326.5</v>
      </c>
      <c r="I693" s="81">
        <v>16326.5</v>
      </c>
      <c r="J693" s="81">
        <f>I693</f>
        <v>16326.5</v>
      </c>
      <c r="K693" s="680">
        <f t="shared" si="66"/>
        <v>0</v>
      </c>
      <c r="L693" s="680">
        <f t="shared" si="67"/>
        <v>0</v>
      </c>
    </row>
    <row r="694" spans="1:12" ht="63" hidden="1">
      <c r="A694" s="123" t="s">
        <v>1061</v>
      </c>
      <c r="B694" s="68" t="s">
        <v>457</v>
      </c>
      <c r="C694" s="68" t="s">
        <v>161</v>
      </c>
      <c r="D694" s="68" t="s">
        <v>156</v>
      </c>
      <c r="E694" s="68" t="s">
        <v>877</v>
      </c>
      <c r="F694" s="68"/>
      <c r="G694" s="81"/>
      <c r="H694" s="81"/>
      <c r="I694" s="81"/>
      <c r="J694" s="81"/>
      <c r="K694" s="680">
        <f t="shared" si="66"/>
        <v>0</v>
      </c>
      <c r="L694" s="680">
        <f t="shared" si="67"/>
        <v>0</v>
      </c>
    </row>
    <row r="695" spans="1:12" ht="31.5" hidden="1">
      <c r="A695" s="123" t="s">
        <v>209</v>
      </c>
      <c r="B695" s="68" t="s">
        <v>457</v>
      </c>
      <c r="C695" s="68" t="s">
        <v>161</v>
      </c>
      <c r="D695" s="68" t="s">
        <v>156</v>
      </c>
      <c r="E695" s="68" t="s">
        <v>877</v>
      </c>
      <c r="F695" s="68" t="s">
        <v>312</v>
      </c>
      <c r="G695" s="81"/>
      <c r="H695" s="81"/>
      <c r="I695" s="81"/>
      <c r="J695" s="81"/>
      <c r="K695" s="680">
        <f t="shared" si="66"/>
        <v>0</v>
      </c>
      <c r="L695" s="680">
        <f t="shared" si="67"/>
        <v>0</v>
      </c>
    </row>
    <row r="696" spans="1:12">
      <c r="A696" s="51" t="s">
        <v>25</v>
      </c>
      <c r="B696" s="120" t="s">
        <v>457</v>
      </c>
      <c r="C696" s="68" t="s">
        <v>161</v>
      </c>
      <c r="D696" s="68" t="s">
        <v>159</v>
      </c>
      <c r="E696" s="120"/>
      <c r="F696" s="120"/>
      <c r="G696" s="81">
        <f>G697+G704</f>
        <v>16221.91531</v>
      </c>
      <c r="H696" s="81">
        <f>H697+H704</f>
        <v>6568.8</v>
      </c>
      <c r="I696" s="81">
        <f>I697+I704</f>
        <v>14273.115310000001</v>
      </c>
      <c r="J696" s="81">
        <f>J697+J704</f>
        <v>6770</v>
      </c>
      <c r="K696" s="680">
        <f t="shared" si="66"/>
        <v>1948.7999999999993</v>
      </c>
      <c r="L696" s="680">
        <f t="shared" si="67"/>
        <v>-201.19999999999982</v>
      </c>
    </row>
    <row r="697" spans="1:12" ht="31.5">
      <c r="A697" s="342" t="s">
        <v>819</v>
      </c>
      <c r="B697" s="153" t="s">
        <v>457</v>
      </c>
      <c r="C697" s="153" t="s">
        <v>161</v>
      </c>
      <c r="D697" s="153" t="s">
        <v>159</v>
      </c>
      <c r="E697" s="160" t="s">
        <v>536</v>
      </c>
      <c r="F697" s="153"/>
      <c r="G697" s="162">
        <f>G698</f>
        <v>13481.17216</v>
      </c>
      <c r="H697" s="162">
        <f>H698</f>
        <v>6530</v>
      </c>
      <c r="I697" s="162">
        <f>I698</f>
        <v>11331.17216</v>
      </c>
      <c r="J697" s="162">
        <f>J698</f>
        <v>6530</v>
      </c>
      <c r="K697" s="680">
        <f t="shared" si="66"/>
        <v>2150</v>
      </c>
      <c r="L697" s="680">
        <f t="shared" si="67"/>
        <v>0</v>
      </c>
    </row>
    <row r="698" spans="1:12" ht="47.25">
      <c r="A698" s="342" t="s">
        <v>632</v>
      </c>
      <c r="B698" s="153" t="s">
        <v>457</v>
      </c>
      <c r="C698" s="153" t="s">
        <v>161</v>
      </c>
      <c r="D698" s="153" t="s">
        <v>159</v>
      </c>
      <c r="E698" s="160" t="s">
        <v>536</v>
      </c>
      <c r="F698" s="153"/>
      <c r="G698" s="162">
        <f>G699+G700+G702</f>
        <v>13481.17216</v>
      </c>
      <c r="H698" s="162">
        <f>H699+H700+H702</f>
        <v>6530</v>
      </c>
      <c r="I698" s="162">
        <f>I699+I700+I702</f>
        <v>11331.17216</v>
      </c>
      <c r="J698" s="162">
        <f>J699+J700+J702</f>
        <v>6530</v>
      </c>
      <c r="K698" s="680">
        <f t="shared" si="66"/>
        <v>2150</v>
      </c>
      <c r="L698" s="680">
        <f t="shared" si="67"/>
        <v>0</v>
      </c>
    </row>
    <row r="699" spans="1:12" ht="31.5">
      <c r="A699" s="123" t="s">
        <v>209</v>
      </c>
      <c r="B699" s="68" t="s">
        <v>457</v>
      </c>
      <c r="C699" s="68" t="s">
        <v>161</v>
      </c>
      <c r="D699" s="68" t="s">
        <v>159</v>
      </c>
      <c r="E699" s="139" t="s">
        <v>429</v>
      </c>
      <c r="F699" s="68" t="s">
        <v>312</v>
      </c>
      <c r="G699" s="81">
        <f>60+1000+2150+250+265.46011+732.02705+2150</f>
        <v>6607.4871599999997</v>
      </c>
      <c r="H699" s="81">
        <v>0</v>
      </c>
      <c r="I699" s="81">
        <f>60+1000+2150+250+265.46011+732.02705</f>
        <v>4457.4871599999997</v>
      </c>
      <c r="J699" s="81">
        <v>0</v>
      </c>
      <c r="K699" s="680">
        <f t="shared" si="66"/>
        <v>2150</v>
      </c>
      <c r="L699" s="680">
        <f t="shared" si="67"/>
        <v>0</v>
      </c>
    </row>
    <row r="700" spans="1:12" ht="63">
      <c r="A700" s="46" t="s">
        <v>70</v>
      </c>
      <c r="B700" s="69">
        <v>937</v>
      </c>
      <c r="C700" s="67" t="s">
        <v>161</v>
      </c>
      <c r="D700" s="67" t="s">
        <v>159</v>
      </c>
      <c r="E700" s="68" t="s">
        <v>545</v>
      </c>
      <c r="F700" s="67"/>
      <c r="G700" s="81">
        <f>G701</f>
        <v>6530</v>
      </c>
      <c r="H700" s="81">
        <f>H701</f>
        <v>6530</v>
      </c>
      <c r="I700" s="81">
        <f>I701</f>
        <v>6530</v>
      </c>
      <c r="J700" s="81">
        <f>J701</f>
        <v>6530</v>
      </c>
      <c r="K700" s="680">
        <f t="shared" si="66"/>
        <v>0</v>
      </c>
      <c r="L700" s="680">
        <f t="shared" si="67"/>
        <v>0</v>
      </c>
    </row>
    <row r="701" spans="1:12" ht="31.5">
      <c r="A701" s="123" t="s">
        <v>209</v>
      </c>
      <c r="B701" s="70">
        <v>937</v>
      </c>
      <c r="C701" s="68" t="s">
        <v>161</v>
      </c>
      <c r="D701" s="68" t="s">
        <v>159</v>
      </c>
      <c r="E701" s="68" t="s">
        <v>545</v>
      </c>
      <c r="F701" s="68" t="s">
        <v>312</v>
      </c>
      <c r="G701" s="81">
        <v>6530</v>
      </c>
      <c r="H701" s="81">
        <f>G701</f>
        <v>6530</v>
      </c>
      <c r="I701" s="81">
        <v>6530</v>
      </c>
      <c r="J701" s="81">
        <f>I701</f>
        <v>6530</v>
      </c>
      <c r="K701" s="680">
        <f t="shared" si="66"/>
        <v>0</v>
      </c>
      <c r="L701" s="680">
        <f t="shared" si="67"/>
        <v>0</v>
      </c>
    </row>
    <row r="702" spans="1:12" ht="78.75">
      <c r="A702" s="46" t="s">
        <v>417</v>
      </c>
      <c r="B702" s="69">
        <v>937</v>
      </c>
      <c r="C702" s="67" t="s">
        <v>161</v>
      </c>
      <c r="D702" s="67" t="s">
        <v>159</v>
      </c>
      <c r="E702" s="68" t="s">
        <v>545</v>
      </c>
      <c r="F702" s="68"/>
      <c r="G702" s="81">
        <f>G703</f>
        <v>343.685</v>
      </c>
      <c r="H702" s="81">
        <v>0</v>
      </c>
      <c r="I702" s="81">
        <f>I703</f>
        <v>343.685</v>
      </c>
      <c r="J702" s="81">
        <v>0</v>
      </c>
      <c r="K702" s="680">
        <f t="shared" si="66"/>
        <v>0</v>
      </c>
      <c r="L702" s="680">
        <f t="shared" si="67"/>
        <v>0</v>
      </c>
    </row>
    <row r="703" spans="1:12" ht="31.5">
      <c r="A703" s="123" t="s">
        <v>209</v>
      </c>
      <c r="B703" s="70">
        <v>937</v>
      </c>
      <c r="C703" s="68" t="s">
        <v>161</v>
      </c>
      <c r="D703" s="68" t="s">
        <v>159</v>
      </c>
      <c r="E703" s="68" t="s">
        <v>545</v>
      </c>
      <c r="F703" s="68" t="s">
        <v>312</v>
      </c>
      <c r="G703" s="81">
        <v>343.685</v>
      </c>
      <c r="H703" s="81">
        <v>0</v>
      </c>
      <c r="I703" s="81">
        <v>343.685</v>
      </c>
      <c r="J703" s="81">
        <v>0</v>
      </c>
      <c r="K703" s="680">
        <f t="shared" si="66"/>
        <v>0</v>
      </c>
      <c r="L703" s="680">
        <f t="shared" si="67"/>
        <v>0</v>
      </c>
    </row>
    <row r="704" spans="1:12" ht="47.25">
      <c r="A704" s="142" t="s">
        <v>830</v>
      </c>
      <c r="B704" s="144" t="s">
        <v>457</v>
      </c>
      <c r="C704" s="144" t="s">
        <v>161</v>
      </c>
      <c r="D704" s="144" t="s">
        <v>159</v>
      </c>
      <c r="E704" s="144" t="s">
        <v>414</v>
      </c>
      <c r="F704" s="144"/>
      <c r="G704" s="146">
        <f>G705</f>
        <v>2740.7431500000002</v>
      </c>
      <c r="H704" s="146">
        <f>H705</f>
        <v>38.799999999999997</v>
      </c>
      <c r="I704" s="146">
        <f>I705</f>
        <v>2941.9431500000001</v>
      </c>
      <c r="J704" s="146">
        <f>J705</f>
        <v>240</v>
      </c>
      <c r="K704" s="680">
        <f t="shared" si="66"/>
        <v>-201.19999999999982</v>
      </c>
      <c r="L704" s="680">
        <f t="shared" si="67"/>
        <v>-201.2</v>
      </c>
    </row>
    <row r="705" spans="1:12" ht="47.25">
      <c r="A705" s="142" t="s">
        <v>633</v>
      </c>
      <c r="B705" s="144" t="s">
        <v>457</v>
      </c>
      <c r="C705" s="144" t="s">
        <v>161</v>
      </c>
      <c r="D705" s="144" t="s">
        <v>159</v>
      </c>
      <c r="E705" s="144" t="s">
        <v>414</v>
      </c>
      <c r="F705" s="144"/>
      <c r="G705" s="146">
        <f>G706+G708+G709+G711+G713</f>
        <v>2740.7431500000002</v>
      </c>
      <c r="H705" s="146">
        <f>H706+H708+H709+H711+H713</f>
        <v>38.799999999999997</v>
      </c>
      <c r="I705" s="146">
        <f>I706+I708+I709+I711+I713</f>
        <v>2941.9431500000001</v>
      </c>
      <c r="J705" s="146">
        <f>J706+J708+J709+J711+J713</f>
        <v>240</v>
      </c>
      <c r="K705" s="680">
        <f t="shared" si="66"/>
        <v>-201.19999999999982</v>
      </c>
      <c r="L705" s="680">
        <f t="shared" si="67"/>
        <v>-201.2</v>
      </c>
    </row>
    <row r="706" spans="1:12" ht="31.5">
      <c r="A706" s="123" t="s">
        <v>209</v>
      </c>
      <c r="B706" s="68" t="s">
        <v>457</v>
      </c>
      <c r="C706" s="68" t="s">
        <v>161</v>
      </c>
      <c r="D706" s="68" t="s">
        <v>159</v>
      </c>
      <c r="E706" s="68" t="s">
        <v>390</v>
      </c>
      <c r="F706" s="68" t="s">
        <v>312</v>
      </c>
      <c r="G706" s="81">
        <f>250+1.94315+800+50+100+1500</f>
        <v>2701.9431500000001</v>
      </c>
      <c r="H706" s="81">
        <v>0</v>
      </c>
      <c r="I706" s="81">
        <f>250+1.94315+800+50+100+1500</f>
        <v>2701.9431500000001</v>
      </c>
      <c r="J706" s="81">
        <v>0</v>
      </c>
      <c r="K706" s="680">
        <f t="shared" si="66"/>
        <v>0</v>
      </c>
      <c r="L706" s="680">
        <f t="shared" si="67"/>
        <v>0</v>
      </c>
    </row>
    <row r="707" spans="1:12" ht="47.25" hidden="1">
      <c r="A707" s="46" t="s">
        <v>336</v>
      </c>
      <c r="B707" s="67" t="s">
        <v>457</v>
      </c>
      <c r="C707" s="67" t="s">
        <v>161</v>
      </c>
      <c r="D707" s="67" t="s">
        <v>159</v>
      </c>
      <c r="E707" s="67" t="s">
        <v>418</v>
      </c>
      <c r="F707" s="67"/>
      <c r="G707" s="80">
        <f>G708</f>
        <v>0</v>
      </c>
      <c r="H707" s="80">
        <f>H708</f>
        <v>0</v>
      </c>
      <c r="I707" s="80">
        <f>I708</f>
        <v>240</v>
      </c>
      <c r="J707" s="80">
        <f>J708</f>
        <v>240</v>
      </c>
      <c r="K707" s="680">
        <f t="shared" si="66"/>
        <v>-240</v>
      </c>
      <c r="L707" s="680">
        <f t="shared" si="67"/>
        <v>-240</v>
      </c>
    </row>
    <row r="708" spans="1:12" ht="31.5" hidden="1">
      <c r="A708" s="123" t="s">
        <v>209</v>
      </c>
      <c r="B708" s="68" t="s">
        <v>457</v>
      </c>
      <c r="C708" s="68" t="s">
        <v>161</v>
      </c>
      <c r="D708" s="68" t="s">
        <v>159</v>
      </c>
      <c r="E708" s="67" t="s">
        <v>418</v>
      </c>
      <c r="F708" s="68" t="s">
        <v>312</v>
      </c>
      <c r="G708" s="81">
        <f>240-240</f>
        <v>0</v>
      </c>
      <c r="H708" s="81">
        <f>G708</f>
        <v>0</v>
      </c>
      <c r="I708" s="81">
        <v>240</v>
      </c>
      <c r="J708" s="81">
        <f>I708</f>
        <v>240</v>
      </c>
      <c r="K708" s="680">
        <f t="shared" si="66"/>
        <v>-240</v>
      </c>
      <c r="L708" s="680">
        <f t="shared" si="67"/>
        <v>-240</v>
      </c>
    </row>
    <row r="709" spans="1:12" ht="59.25" hidden="1" customHeight="1">
      <c r="A709" s="374" t="s">
        <v>419</v>
      </c>
      <c r="B709" s="67" t="s">
        <v>457</v>
      </c>
      <c r="C709" s="67" t="s">
        <v>161</v>
      </c>
      <c r="D709" s="67" t="s">
        <v>159</v>
      </c>
      <c r="E709" s="67" t="s">
        <v>418</v>
      </c>
      <c r="F709" s="67"/>
      <c r="G709" s="80">
        <f>G710</f>
        <v>0</v>
      </c>
      <c r="H709" s="80">
        <f>H710</f>
        <v>0</v>
      </c>
      <c r="I709" s="80">
        <f>I710</f>
        <v>0</v>
      </c>
      <c r="J709" s="80">
        <f>J710</f>
        <v>0</v>
      </c>
      <c r="K709" s="680">
        <f t="shared" si="66"/>
        <v>0</v>
      </c>
      <c r="L709" s="680">
        <f t="shared" si="67"/>
        <v>0</v>
      </c>
    </row>
    <row r="710" spans="1:12" ht="31.5" hidden="1">
      <c r="A710" s="123" t="s">
        <v>209</v>
      </c>
      <c r="B710" s="68" t="s">
        <v>457</v>
      </c>
      <c r="C710" s="68" t="s">
        <v>161</v>
      </c>
      <c r="D710" s="68" t="s">
        <v>159</v>
      </c>
      <c r="E710" s="68" t="s">
        <v>418</v>
      </c>
      <c r="F710" s="68" t="s">
        <v>312</v>
      </c>
      <c r="G710" s="81"/>
      <c r="H710" s="81">
        <v>0</v>
      </c>
      <c r="I710" s="81"/>
      <c r="J710" s="81">
        <v>0</v>
      </c>
      <c r="K710" s="680">
        <f t="shared" si="66"/>
        <v>0</v>
      </c>
      <c r="L710" s="680">
        <f t="shared" si="67"/>
        <v>0</v>
      </c>
    </row>
    <row r="711" spans="1:12">
      <c r="A711" s="123" t="s">
        <v>769</v>
      </c>
      <c r="B711" s="68" t="s">
        <v>457</v>
      </c>
      <c r="C711" s="68" t="s">
        <v>161</v>
      </c>
      <c r="D711" s="68" t="s">
        <v>159</v>
      </c>
      <c r="E711" s="68" t="s">
        <v>1258</v>
      </c>
      <c r="F711" s="68"/>
      <c r="G711" s="811">
        <f>G712</f>
        <v>38.799999999999997</v>
      </c>
      <c r="H711" s="81">
        <f>H712</f>
        <v>38.799999999999997</v>
      </c>
      <c r="I711" s="81">
        <f>I712</f>
        <v>0</v>
      </c>
      <c r="J711" s="81">
        <f>J712</f>
        <v>0</v>
      </c>
      <c r="K711" s="680">
        <f t="shared" si="66"/>
        <v>38.799999999999997</v>
      </c>
      <c r="L711" s="680">
        <f t="shared" si="67"/>
        <v>38.799999999999997</v>
      </c>
    </row>
    <row r="712" spans="1:12" ht="31.5">
      <c r="A712" s="123" t="s">
        <v>209</v>
      </c>
      <c r="B712" s="68" t="s">
        <v>457</v>
      </c>
      <c r="C712" s="68" t="s">
        <v>161</v>
      </c>
      <c r="D712" s="68" t="s">
        <v>159</v>
      </c>
      <c r="E712" s="68" t="s">
        <v>1258</v>
      </c>
      <c r="F712" s="68" t="s">
        <v>312</v>
      </c>
      <c r="G712" s="811">
        <v>38.799999999999997</v>
      </c>
      <c r="H712" s="81">
        <f>G712</f>
        <v>38.799999999999997</v>
      </c>
      <c r="I712" s="81"/>
      <c r="J712" s="81">
        <f>I712</f>
        <v>0</v>
      </c>
      <c r="K712" s="680">
        <f t="shared" si="66"/>
        <v>38.799999999999997</v>
      </c>
      <c r="L712" s="680">
        <f t="shared" si="67"/>
        <v>38.799999999999997</v>
      </c>
    </row>
    <row r="713" spans="1:12" ht="31.5" hidden="1">
      <c r="A713" s="123" t="s">
        <v>771</v>
      </c>
      <c r="B713" s="68" t="s">
        <v>457</v>
      </c>
      <c r="C713" s="68" t="s">
        <v>161</v>
      </c>
      <c r="D713" s="68" t="s">
        <v>159</v>
      </c>
      <c r="E713" s="68" t="s">
        <v>772</v>
      </c>
      <c r="F713" s="68"/>
      <c r="G713" s="81">
        <f>G714</f>
        <v>0</v>
      </c>
      <c r="H713" s="81">
        <v>0</v>
      </c>
      <c r="I713" s="81">
        <f>I714</f>
        <v>0</v>
      </c>
      <c r="J713" s="81">
        <v>0</v>
      </c>
      <c r="K713" s="680">
        <f t="shared" si="66"/>
        <v>0</v>
      </c>
      <c r="L713" s="680">
        <f t="shared" si="67"/>
        <v>0</v>
      </c>
    </row>
    <row r="714" spans="1:12" ht="31.5" hidden="1">
      <c r="A714" s="123" t="s">
        <v>209</v>
      </c>
      <c r="B714" s="68" t="s">
        <v>457</v>
      </c>
      <c r="C714" s="68" t="s">
        <v>161</v>
      </c>
      <c r="D714" s="68" t="s">
        <v>159</v>
      </c>
      <c r="E714" s="68" t="s">
        <v>772</v>
      </c>
      <c r="F714" s="68" t="s">
        <v>312</v>
      </c>
      <c r="G714" s="81"/>
      <c r="H714" s="81">
        <v>0</v>
      </c>
      <c r="I714" s="81"/>
      <c r="J714" s="81">
        <v>0</v>
      </c>
      <c r="K714" s="680">
        <f t="shared" si="66"/>
        <v>0</v>
      </c>
      <c r="L714" s="680">
        <f t="shared" si="67"/>
        <v>0</v>
      </c>
    </row>
    <row r="715" spans="1:12">
      <c r="A715" s="52" t="s">
        <v>207</v>
      </c>
      <c r="B715" s="75" t="s">
        <v>457</v>
      </c>
      <c r="C715" s="75" t="s">
        <v>162</v>
      </c>
      <c r="D715" s="75"/>
      <c r="E715" s="68"/>
      <c r="F715" s="68"/>
      <c r="G715" s="81">
        <f>G716+G723</f>
        <v>15546.823479999999</v>
      </c>
      <c r="H715" s="81">
        <f>H716+H723</f>
        <v>11537.3</v>
      </c>
      <c r="I715" s="81">
        <f>I716+I723</f>
        <v>15601.598310000001</v>
      </c>
      <c r="J715" s="81">
        <f>J716+J723</f>
        <v>10626</v>
      </c>
      <c r="K715" s="680">
        <f t="shared" si="66"/>
        <v>-54.774830000002112</v>
      </c>
      <c r="L715" s="680">
        <f t="shared" si="67"/>
        <v>911.29999999999927</v>
      </c>
    </row>
    <row r="716" spans="1:12">
      <c r="A716" s="52" t="s">
        <v>427</v>
      </c>
      <c r="B716" s="68" t="s">
        <v>457</v>
      </c>
      <c r="C716" s="75" t="s">
        <v>162</v>
      </c>
      <c r="D716" s="75" t="s">
        <v>153</v>
      </c>
      <c r="E716" s="68"/>
      <c r="F716" s="68"/>
      <c r="G716" s="81">
        <f t="shared" ref="G716:J717" si="72">G717</f>
        <v>10729.591839999999</v>
      </c>
      <c r="H716" s="81">
        <f t="shared" si="72"/>
        <v>10515</v>
      </c>
      <c r="I716" s="81">
        <f t="shared" si="72"/>
        <v>11806.666670000001</v>
      </c>
      <c r="J716" s="81">
        <f t="shared" si="72"/>
        <v>10626</v>
      </c>
      <c r="K716" s="680">
        <f t="shared" si="66"/>
        <v>-1077.0748300000014</v>
      </c>
      <c r="L716" s="680">
        <f t="shared" si="67"/>
        <v>-111</v>
      </c>
    </row>
    <row r="717" spans="1:12" ht="31.5">
      <c r="A717" s="342" t="s">
        <v>819</v>
      </c>
      <c r="B717" s="153" t="s">
        <v>457</v>
      </c>
      <c r="C717" s="153" t="s">
        <v>162</v>
      </c>
      <c r="D717" s="153" t="s">
        <v>153</v>
      </c>
      <c r="E717" s="160" t="s">
        <v>536</v>
      </c>
      <c r="F717" s="153"/>
      <c r="G717" s="162">
        <f t="shared" si="72"/>
        <v>10729.591839999999</v>
      </c>
      <c r="H717" s="162">
        <f t="shared" si="72"/>
        <v>10515</v>
      </c>
      <c r="I717" s="162">
        <f t="shared" si="72"/>
        <v>11806.666670000001</v>
      </c>
      <c r="J717" s="162">
        <f t="shared" si="72"/>
        <v>10626</v>
      </c>
      <c r="K717" s="680">
        <f t="shared" si="66"/>
        <v>-1077.0748300000014</v>
      </c>
      <c r="L717" s="680">
        <f t="shared" si="67"/>
        <v>-111</v>
      </c>
    </row>
    <row r="718" spans="1:12" ht="47.25">
      <c r="A718" s="175" t="s">
        <v>632</v>
      </c>
      <c r="B718" s="172" t="s">
        <v>457</v>
      </c>
      <c r="C718" s="172" t="s">
        <v>162</v>
      </c>
      <c r="D718" s="172" t="s">
        <v>153</v>
      </c>
      <c r="E718" s="276" t="s">
        <v>536</v>
      </c>
      <c r="F718" s="172"/>
      <c r="G718" s="167">
        <f>G719+G721</f>
        <v>10729.591839999999</v>
      </c>
      <c r="H718" s="167">
        <f>H719+H721</f>
        <v>10515</v>
      </c>
      <c r="I718" s="167">
        <f>I719+I721</f>
        <v>11806.666670000001</v>
      </c>
      <c r="J718" s="167">
        <f>J719+J721</f>
        <v>10626</v>
      </c>
      <c r="K718" s="680">
        <f t="shared" si="66"/>
        <v>-1077.0748300000014</v>
      </c>
      <c r="L718" s="680">
        <f t="shared" si="67"/>
        <v>-111</v>
      </c>
    </row>
    <row r="719" spans="1:12" ht="63">
      <c r="A719" s="48" t="s">
        <v>538</v>
      </c>
      <c r="B719" s="68" t="s">
        <v>457</v>
      </c>
      <c r="C719" s="68" t="s">
        <v>162</v>
      </c>
      <c r="D719" s="68" t="s">
        <v>153</v>
      </c>
      <c r="E719" s="68" t="s">
        <v>546</v>
      </c>
      <c r="F719" s="68"/>
      <c r="G719" s="81">
        <f>G720</f>
        <v>10515</v>
      </c>
      <c r="H719" s="81">
        <f>H720</f>
        <v>10515</v>
      </c>
      <c r="I719" s="81">
        <f>I720</f>
        <v>10626</v>
      </c>
      <c r="J719" s="81">
        <f>J720</f>
        <v>10626</v>
      </c>
      <c r="K719" s="680">
        <f t="shared" si="66"/>
        <v>-111</v>
      </c>
      <c r="L719" s="680">
        <f t="shared" si="67"/>
        <v>-111</v>
      </c>
    </row>
    <row r="720" spans="1:12" ht="31.5">
      <c r="A720" s="123" t="s">
        <v>209</v>
      </c>
      <c r="B720" s="68" t="s">
        <v>457</v>
      </c>
      <c r="C720" s="68" t="s">
        <v>162</v>
      </c>
      <c r="D720" s="68" t="s">
        <v>153</v>
      </c>
      <c r="E720" s="68" t="s">
        <v>546</v>
      </c>
      <c r="F720" s="68" t="s">
        <v>312</v>
      </c>
      <c r="G720" s="81">
        <f>10626-111</f>
        <v>10515</v>
      </c>
      <c r="H720" s="81">
        <f>G720</f>
        <v>10515</v>
      </c>
      <c r="I720" s="81">
        <v>10626</v>
      </c>
      <c r="J720" s="81">
        <f>I720</f>
        <v>10626</v>
      </c>
      <c r="K720" s="680">
        <f t="shared" si="66"/>
        <v>-111</v>
      </c>
      <c r="L720" s="680">
        <f t="shared" si="67"/>
        <v>-111</v>
      </c>
    </row>
    <row r="721" spans="1:12" ht="78.75">
      <c r="A721" s="123" t="s">
        <v>426</v>
      </c>
      <c r="B721" s="68" t="s">
        <v>457</v>
      </c>
      <c r="C721" s="68" t="s">
        <v>162</v>
      </c>
      <c r="D721" s="68" t="s">
        <v>153</v>
      </c>
      <c r="E721" s="68" t="s">
        <v>546</v>
      </c>
      <c r="F721" s="68"/>
      <c r="G721" s="81">
        <f>G722</f>
        <v>214.59183999999999</v>
      </c>
      <c r="H721" s="81">
        <f>H722</f>
        <v>0</v>
      </c>
      <c r="I721" s="81">
        <f>I722</f>
        <v>1180.6666700000001</v>
      </c>
      <c r="J721" s="81">
        <f>J722</f>
        <v>0</v>
      </c>
      <c r="K721" s="680">
        <f t="shared" si="66"/>
        <v>-966.07483000000002</v>
      </c>
      <c r="L721" s="680">
        <f t="shared" si="67"/>
        <v>0</v>
      </c>
    </row>
    <row r="722" spans="1:12" ht="31.5">
      <c r="A722" s="123" t="s">
        <v>209</v>
      </c>
      <c r="B722" s="68" t="s">
        <v>457</v>
      </c>
      <c r="C722" s="68" t="s">
        <v>162</v>
      </c>
      <c r="D722" s="68" t="s">
        <v>153</v>
      </c>
      <c r="E722" s="68" t="s">
        <v>546</v>
      </c>
      <c r="F722" s="68" t="s">
        <v>312</v>
      </c>
      <c r="G722" s="81">
        <v>214.59183999999999</v>
      </c>
      <c r="H722" s="81">
        <v>0</v>
      </c>
      <c r="I722" s="81">
        <v>1180.6666700000001</v>
      </c>
      <c r="J722" s="81">
        <v>0</v>
      </c>
      <c r="K722" s="680">
        <f t="shared" si="66"/>
        <v>-966.07483000000002</v>
      </c>
      <c r="L722" s="680">
        <f t="shared" si="67"/>
        <v>0</v>
      </c>
    </row>
    <row r="723" spans="1:12">
      <c r="A723" s="269" t="s">
        <v>22</v>
      </c>
      <c r="B723" s="271" t="s">
        <v>457</v>
      </c>
      <c r="C723" s="75" t="s">
        <v>162</v>
      </c>
      <c r="D723" s="75" t="s">
        <v>162</v>
      </c>
      <c r="E723" s="271"/>
      <c r="F723" s="271"/>
      <c r="G723" s="76">
        <f>G724+G738+G741</f>
        <v>4817.23164</v>
      </c>
      <c r="H723" s="76">
        <f>H724+H738</f>
        <v>1022.3</v>
      </c>
      <c r="I723" s="76">
        <f>I724+I738+I741</f>
        <v>3794.9316399999998</v>
      </c>
      <c r="J723" s="76">
        <f>J724+J738</f>
        <v>0</v>
      </c>
      <c r="K723" s="680">
        <f t="shared" si="66"/>
        <v>1022.3000000000002</v>
      </c>
      <c r="L723" s="680">
        <f t="shared" si="67"/>
        <v>1022.3</v>
      </c>
    </row>
    <row r="724" spans="1:12" ht="61.5" customHeight="1">
      <c r="A724" s="507" t="s">
        <v>834</v>
      </c>
      <c r="B724" s="153" t="s">
        <v>457</v>
      </c>
      <c r="C724" s="153" t="s">
        <v>162</v>
      </c>
      <c r="D724" s="153" t="s">
        <v>162</v>
      </c>
      <c r="E724" s="515" t="s">
        <v>838</v>
      </c>
      <c r="F724" s="153"/>
      <c r="G724" s="162">
        <f t="shared" ref="G724:J725" si="73">G725</f>
        <v>4518</v>
      </c>
      <c r="H724" s="162">
        <f t="shared" si="73"/>
        <v>1022.3</v>
      </c>
      <c r="I724" s="162">
        <f t="shared" si="73"/>
        <v>3495.7</v>
      </c>
      <c r="J724" s="162">
        <f t="shared" si="73"/>
        <v>0</v>
      </c>
      <c r="K724" s="680">
        <f t="shared" si="66"/>
        <v>1022.3000000000002</v>
      </c>
      <c r="L724" s="680">
        <f t="shared" si="67"/>
        <v>1022.3</v>
      </c>
    </row>
    <row r="725" spans="1:12" ht="33" customHeight="1">
      <c r="A725" s="608" t="s">
        <v>846</v>
      </c>
      <c r="B725" s="611" t="s">
        <v>457</v>
      </c>
      <c r="C725" s="611" t="s">
        <v>162</v>
      </c>
      <c r="D725" s="611" t="s">
        <v>162</v>
      </c>
      <c r="E725" s="606" t="s">
        <v>839</v>
      </c>
      <c r="F725" s="611"/>
      <c r="G725" s="612">
        <f>G726+G732</f>
        <v>4518</v>
      </c>
      <c r="H725" s="612">
        <f t="shared" si="73"/>
        <v>1022.3</v>
      </c>
      <c r="I725" s="612">
        <f>I726+I732</f>
        <v>3495.7</v>
      </c>
      <c r="J725" s="612">
        <f t="shared" si="73"/>
        <v>0</v>
      </c>
      <c r="K725" s="680">
        <f t="shared" si="66"/>
        <v>1022.3000000000002</v>
      </c>
      <c r="L725" s="680">
        <f t="shared" si="67"/>
        <v>1022.3</v>
      </c>
    </row>
    <row r="726" spans="1:12" ht="33" customHeight="1">
      <c r="A726" s="608" t="s">
        <v>835</v>
      </c>
      <c r="B726" s="611" t="s">
        <v>457</v>
      </c>
      <c r="C726" s="611" t="s">
        <v>162</v>
      </c>
      <c r="D726" s="611" t="s">
        <v>162</v>
      </c>
      <c r="E726" s="606" t="s">
        <v>840</v>
      </c>
      <c r="F726" s="611"/>
      <c r="G726" s="612">
        <f>G727+G735</f>
        <v>3495.7</v>
      </c>
      <c r="H726" s="612">
        <f>H727+H732+H735</f>
        <v>1022.3</v>
      </c>
      <c r="I726" s="612">
        <f>I727+I735</f>
        <v>3495.7</v>
      </c>
      <c r="J726" s="612">
        <f>J727+J732+J735</f>
        <v>0</v>
      </c>
      <c r="K726" s="680">
        <f t="shared" si="66"/>
        <v>0</v>
      </c>
      <c r="L726" s="680">
        <f t="shared" si="67"/>
        <v>1022.3</v>
      </c>
    </row>
    <row r="727" spans="1:12">
      <c r="A727" s="46" t="s">
        <v>815</v>
      </c>
      <c r="B727" s="120" t="s">
        <v>457</v>
      </c>
      <c r="C727" s="68" t="s">
        <v>162</v>
      </c>
      <c r="D727" s="68" t="s">
        <v>162</v>
      </c>
      <c r="E727" s="68" t="s">
        <v>858</v>
      </c>
      <c r="F727" s="67"/>
      <c r="G727" s="81">
        <f>G728+G729+G730+G731</f>
        <v>3495.7</v>
      </c>
      <c r="H727" s="81">
        <f>H728+H730</f>
        <v>0</v>
      </c>
      <c r="I727" s="81">
        <f>I728+I729+I730+I731</f>
        <v>3495.7</v>
      </c>
      <c r="J727" s="81">
        <f>J728+J730</f>
        <v>0</v>
      </c>
      <c r="K727" s="680">
        <f t="shared" si="66"/>
        <v>0</v>
      </c>
      <c r="L727" s="680">
        <f t="shared" si="67"/>
        <v>0</v>
      </c>
    </row>
    <row r="728" spans="1:12" ht="31.5">
      <c r="A728" s="48" t="s">
        <v>110</v>
      </c>
      <c r="B728" s="120" t="s">
        <v>457</v>
      </c>
      <c r="C728" s="68" t="s">
        <v>162</v>
      </c>
      <c r="D728" s="68" t="s">
        <v>162</v>
      </c>
      <c r="E728" s="68" t="s">
        <v>858</v>
      </c>
      <c r="F728" s="68" t="s">
        <v>311</v>
      </c>
      <c r="G728" s="81">
        <v>2684.9</v>
      </c>
      <c r="H728" s="81">
        <v>0</v>
      </c>
      <c r="I728" s="81">
        <v>2684.9</v>
      </c>
      <c r="J728" s="81">
        <v>0</v>
      </c>
      <c r="K728" s="680">
        <f t="shared" si="66"/>
        <v>0</v>
      </c>
      <c r="L728" s="680">
        <f t="shared" si="67"/>
        <v>0</v>
      </c>
    </row>
    <row r="729" spans="1:12" ht="31.5" hidden="1">
      <c r="A729" s="48" t="s">
        <v>6</v>
      </c>
      <c r="B729" s="120" t="s">
        <v>457</v>
      </c>
      <c r="C729" s="68" t="s">
        <v>162</v>
      </c>
      <c r="D729" s="68" t="s">
        <v>162</v>
      </c>
      <c r="E729" s="68" t="s">
        <v>858</v>
      </c>
      <c r="F729" s="68" t="s">
        <v>316</v>
      </c>
      <c r="G729" s="81"/>
      <c r="H729" s="81">
        <v>0</v>
      </c>
      <c r="I729" s="81"/>
      <c r="J729" s="81">
        <v>0</v>
      </c>
      <c r="K729" s="680">
        <f t="shared" si="66"/>
        <v>0</v>
      </c>
      <c r="L729" s="680">
        <f t="shared" si="67"/>
        <v>0</v>
      </c>
    </row>
    <row r="730" spans="1:12" ht="47.25">
      <c r="A730" s="164" t="s">
        <v>325</v>
      </c>
      <c r="B730" s="120" t="s">
        <v>457</v>
      </c>
      <c r="C730" s="68" t="s">
        <v>162</v>
      </c>
      <c r="D730" s="68" t="s">
        <v>162</v>
      </c>
      <c r="E730" s="68" t="s">
        <v>858</v>
      </c>
      <c r="F730" s="68" t="s">
        <v>326</v>
      </c>
      <c r="G730" s="81">
        <v>810.8</v>
      </c>
      <c r="H730" s="81">
        <v>0</v>
      </c>
      <c r="I730" s="81">
        <v>810.8</v>
      </c>
      <c r="J730" s="81">
        <v>0</v>
      </c>
      <c r="K730" s="680">
        <f t="shared" si="66"/>
        <v>0</v>
      </c>
      <c r="L730" s="680">
        <f t="shared" si="67"/>
        <v>0</v>
      </c>
    </row>
    <row r="731" spans="1:12" ht="31.5" hidden="1">
      <c r="A731" s="123" t="s">
        <v>209</v>
      </c>
      <c r="B731" s="120" t="s">
        <v>457</v>
      </c>
      <c r="C731" s="68" t="s">
        <v>162</v>
      </c>
      <c r="D731" s="68" t="s">
        <v>162</v>
      </c>
      <c r="E731" s="68" t="s">
        <v>858</v>
      </c>
      <c r="F731" s="68" t="s">
        <v>312</v>
      </c>
      <c r="G731" s="81"/>
      <c r="H731" s="81"/>
      <c r="I731" s="81"/>
      <c r="J731" s="81"/>
      <c r="K731" s="680">
        <f t="shared" si="66"/>
        <v>0</v>
      </c>
      <c r="L731" s="680">
        <f t="shared" si="67"/>
        <v>0</v>
      </c>
    </row>
    <row r="732" spans="1:12" ht="63">
      <c r="A732" s="46" t="s">
        <v>570</v>
      </c>
      <c r="B732" s="120" t="s">
        <v>457</v>
      </c>
      <c r="C732" s="68" t="s">
        <v>162</v>
      </c>
      <c r="D732" s="68" t="s">
        <v>162</v>
      </c>
      <c r="E732" s="68" t="s">
        <v>879</v>
      </c>
      <c r="F732" s="68"/>
      <c r="G732" s="81">
        <f>G733+G734</f>
        <v>1022.3</v>
      </c>
      <c r="H732" s="81">
        <f>H733+H734</f>
        <v>1022.3</v>
      </c>
      <c r="I732" s="81">
        <f>I733+I734</f>
        <v>0</v>
      </c>
      <c r="J732" s="81">
        <f>J733+J734</f>
        <v>0</v>
      </c>
      <c r="K732" s="680">
        <f t="shared" si="66"/>
        <v>1022.3</v>
      </c>
      <c r="L732" s="680">
        <f t="shared" si="67"/>
        <v>1022.3</v>
      </c>
    </row>
    <row r="733" spans="1:12" ht="31.5">
      <c r="A733" s="48" t="s">
        <v>110</v>
      </c>
      <c r="B733" s="120" t="s">
        <v>457</v>
      </c>
      <c r="C733" s="68" t="s">
        <v>162</v>
      </c>
      <c r="D733" s="68" t="s">
        <v>162</v>
      </c>
      <c r="E733" s="68" t="s">
        <v>879</v>
      </c>
      <c r="F733" s="68" t="s">
        <v>311</v>
      </c>
      <c r="G733" s="81">
        <v>785.17700000000002</v>
      </c>
      <c r="H733" s="81">
        <f>G733</f>
        <v>785.17700000000002</v>
      </c>
      <c r="I733" s="81"/>
      <c r="J733" s="81">
        <f>I733</f>
        <v>0</v>
      </c>
      <c r="K733" s="680">
        <f t="shared" si="66"/>
        <v>785.17700000000002</v>
      </c>
      <c r="L733" s="680">
        <f t="shared" si="67"/>
        <v>785.17700000000002</v>
      </c>
    </row>
    <row r="734" spans="1:12" ht="47.25">
      <c r="A734" s="164" t="s">
        <v>325</v>
      </c>
      <c r="B734" s="120" t="s">
        <v>457</v>
      </c>
      <c r="C734" s="68" t="s">
        <v>162</v>
      </c>
      <c r="D734" s="68" t="s">
        <v>162</v>
      </c>
      <c r="E734" s="68" t="s">
        <v>879</v>
      </c>
      <c r="F734" s="68" t="s">
        <v>326</v>
      </c>
      <c r="G734" s="81">
        <v>237.12299999999999</v>
      </c>
      <c r="H734" s="81">
        <f>G734</f>
        <v>237.12299999999999</v>
      </c>
      <c r="I734" s="81"/>
      <c r="J734" s="81">
        <f>I734</f>
        <v>0</v>
      </c>
      <c r="K734" s="680">
        <f t="shared" ref="K734:K760" si="74">G734-I734</f>
        <v>237.12299999999999</v>
      </c>
      <c r="L734" s="680">
        <f t="shared" ref="L734:L760" si="75">H734-J734</f>
        <v>237.12299999999999</v>
      </c>
    </row>
    <row r="735" spans="1:12" ht="31.5" hidden="1">
      <c r="A735" s="164" t="s">
        <v>1069</v>
      </c>
      <c r="B735" s="120" t="s">
        <v>457</v>
      </c>
      <c r="C735" s="68" t="s">
        <v>162</v>
      </c>
      <c r="D735" s="68" t="s">
        <v>162</v>
      </c>
      <c r="E735" s="68" t="s">
        <v>1070</v>
      </c>
      <c r="F735" s="68"/>
      <c r="G735" s="81">
        <f>G736+G737</f>
        <v>0</v>
      </c>
      <c r="H735" s="81">
        <f>H736+H737</f>
        <v>0</v>
      </c>
      <c r="I735" s="81">
        <f>I736+I737</f>
        <v>0</v>
      </c>
      <c r="J735" s="81">
        <f>J736+J737</f>
        <v>0</v>
      </c>
      <c r="K735" s="680">
        <f t="shared" si="74"/>
        <v>0</v>
      </c>
      <c r="L735" s="680">
        <f t="shared" si="75"/>
        <v>0</v>
      </c>
    </row>
    <row r="736" spans="1:12" hidden="1">
      <c r="A736" s="48" t="s">
        <v>324</v>
      </c>
      <c r="B736" s="120" t="s">
        <v>457</v>
      </c>
      <c r="C736" s="68" t="s">
        <v>162</v>
      </c>
      <c r="D736" s="68" t="s">
        <v>162</v>
      </c>
      <c r="E736" s="68" t="s">
        <v>1070</v>
      </c>
      <c r="F736" s="68" t="s">
        <v>311</v>
      </c>
      <c r="G736" s="81"/>
      <c r="H736" s="81">
        <f>G736</f>
        <v>0</v>
      </c>
      <c r="I736" s="81"/>
      <c r="J736" s="81">
        <f>I736</f>
        <v>0</v>
      </c>
      <c r="K736" s="680">
        <f t="shared" si="74"/>
        <v>0</v>
      </c>
      <c r="L736" s="680">
        <f t="shared" si="75"/>
        <v>0</v>
      </c>
    </row>
    <row r="737" spans="1:12" ht="47.25" hidden="1">
      <c r="A737" s="164" t="s">
        <v>325</v>
      </c>
      <c r="B737" s="120" t="s">
        <v>457</v>
      </c>
      <c r="C737" s="68" t="s">
        <v>162</v>
      </c>
      <c r="D737" s="68" t="s">
        <v>162</v>
      </c>
      <c r="E737" s="68" t="s">
        <v>1070</v>
      </c>
      <c r="F737" s="68" t="s">
        <v>326</v>
      </c>
      <c r="G737" s="81"/>
      <c r="H737" s="81">
        <f>G737</f>
        <v>0</v>
      </c>
      <c r="I737" s="81"/>
      <c r="J737" s="81">
        <f>I737</f>
        <v>0</v>
      </c>
      <c r="K737" s="680">
        <f t="shared" si="74"/>
        <v>0</v>
      </c>
      <c r="L737" s="680">
        <f t="shared" si="75"/>
        <v>0</v>
      </c>
    </row>
    <row r="738" spans="1:12" ht="47.25">
      <c r="A738" s="496" t="s">
        <v>830</v>
      </c>
      <c r="B738" s="515" t="s">
        <v>457</v>
      </c>
      <c r="C738" s="515" t="s">
        <v>162</v>
      </c>
      <c r="D738" s="515" t="s">
        <v>162</v>
      </c>
      <c r="E738" s="515" t="s">
        <v>414</v>
      </c>
      <c r="F738" s="515"/>
      <c r="G738" s="377">
        <f>G739</f>
        <v>299.23164000000003</v>
      </c>
      <c r="H738" s="377">
        <f t="shared" ref="H738:J738" si="76">H739</f>
        <v>0</v>
      </c>
      <c r="I738" s="377">
        <f>I739</f>
        <v>299.23164000000003</v>
      </c>
      <c r="J738" s="377">
        <f t="shared" si="76"/>
        <v>0</v>
      </c>
      <c r="K738" s="680">
        <f t="shared" si="74"/>
        <v>0</v>
      </c>
      <c r="L738" s="680">
        <f t="shared" si="75"/>
        <v>0</v>
      </c>
    </row>
    <row r="739" spans="1:12" ht="47.25">
      <c r="A739" s="613" t="s">
        <v>633</v>
      </c>
      <c r="B739" s="614" t="s">
        <v>457</v>
      </c>
      <c r="C739" s="614" t="s">
        <v>162</v>
      </c>
      <c r="D739" s="614" t="s">
        <v>162</v>
      </c>
      <c r="E739" s="614" t="s">
        <v>414</v>
      </c>
      <c r="F739" s="614"/>
      <c r="G739" s="615">
        <f>G740</f>
        <v>299.23164000000003</v>
      </c>
      <c r="H739" s="615">
        <f>H740</f>
        <v>0</v>
      </c>
      <c r="I739" s="615">
        <f>I740</f>
        <v>299.23164000000003</v>
      </c>
      <c r="J739" s="615">
        <f>J740</f>
        <v>0</v>
      </c>
      <c r="K739" s="680">
        <f t="shared" si="74"/>
        <v>0</v>
      </c>
      <c r="L739" s="680">
        <f t="shared" si="75"/>
        <v>0</v>
      </c>
    </row>
    <row r="740" spans="1:12">
      <c r="A740" s="48" t="s">
        <v>210</v>
      </c>
      <c r="B740" s="70">
        <v>937</v>
      </c>
      <c r="C740" s="68" t="s">
        <v>162</v>
      </c>
      <c r="D740" s="68" t="s">
        <v>162</v>
      </c>
      <c r="E740" s="68" t="s">
        <v>829</v>
      </c>
      <c r="F740" s="349">
        <v>852</v>
      </c>
      <c r="G740" s="81">
        <v>299.23164000000003</v>
      </c>
      <c r="H740" s="81">
        <v>0</v>
      </c>
      <c r="I740" s="81">
        <v>299.23164000000003</v>
      </c>
      <c r="J740" s="81">
        <v>0</v>
      </c>
      <c r="K740" s="680">
        <f t="shared" si="74"/>
        <v>0</v>
      </c>
      <c r="L740" s="680">
        <f t="shared" si="75"/>
        <v>0</v>
      </c>
    </row>
    <row r="741" spans="1:12" ht="31.5">
      <c r="A741" s="342" t="s">
        <v>819</v>
      </c>
      <c r="B741" s="153" t="s">
        <v>457</v>
      </c>
      <c r="C741" s="153" t="s">
        <v>162</v>
      </c>
      <c r="D741" s="153" t="s">
        <v>162</v>
      </c>
      <c r="E741" s="160" t="s">
        <v>536</v>
      </c>
      <c r="F741" s="625"/>
      <c r="G741" s="162">
        <f>G743+G742</f>
        <v>0</v>
      </c>
      <c r="H741" s="81"/>
      <c r="I741" s="162">
        <f>I743+I742</f>
        <v>0</v>
      </c>
      <c r="J741" s="81"/>
      <c r="K741" s="680">
        <f t="shared" si="74"/>
        <v>0</v>
      </c>
      <c r="L741" s="680">
        <f t="shared" si="75"/>
        <v>0</v>
      </c>
    </row>
    <row r="742" spans="1:12" ht="31.5" hidden="1">
      <c r="A742" s="123" t="s">
        <v>209</v>
      </c>
      <c r="B742" s="70">
        <v>937</v>
      </c>
      <c r="C742" s="68" t="s">
        <v>162</v>
      </c>
      <c r="D742" s="68" t="s">
        <v>162</v>
      </c>
      <c r="E742" s="139" t="s">
        <v>429</v>
      </c>
      <c r="F742" s="719">
        <v>244</v>
      </c>
      <c r="G742" s="167"/>
      <c r="H742" s="81"/>
      <c r="I742" s="167"/>
      <c r="J742" s="81"/>
      <c r="K742" s="680">
        <f t="shared" si="74"/>
        <v>0</v>
      </c>
      <c r="L742" s="680">
        <f t="shared" si="75"/>
        <v>0</v>
      </c>
    </row>
    <row r="743" spans="1:12" hidden="1">
      <c r="A743" s="48" t="s">
        <v>1036</v>
      </c>
      <c r="B743" s="70">
        <v>937</v>
      </c>
      <c r="C743" s="68" t="s">
        <v>162</v>
      </c>
      <c r="D743" s="68" t="s">
        <v>162</v>
      </c>
      <c r="E743" s="139" t="s">
        <v>429</v>
      </c>
      <c r="F743" s="349">
        <v>853</v>
      </c>
      <c r="G743" s="81"/>
      <c r="H743" s="81"/>
      <c r="I743" s="81"/>
      <c r="J743" s="81"/>
      <c r="K743" s="680">
        <f t="shared" si="74"/>
        <v>0</v>
      </c>
      <c r="L743" s="680">
        <f t="shared" si="75"/>
        <v>0</v>
      </c>
    </row>
    <row r="744" spans="1:12">
      <c r="A744" s="466" t="s">
        <v>129</v>
      </c>
      <c r="B744" s="74">
        <v>937</v>
      </c>
      <c r="C744" s="75" t="s">
        <v>158</v>
      </c>
      <c r="D744" s="75" t="s">
        <v>376</v>
      </c>
      <c r="E744" s="75"/>
      <c r="F744" s="398"/>
      <c r="G744" s="76">
        <f>G745</f>
        <v>545.29999999999995</v>
      </c>
      <c r="H744" s="76">
        <f>H745</f>
        <v>0</v>
      </c>
      <c r="I744" s="76">
        <f>I745</f>
        <v>818564.8</v>
      </c>
      <c r="J744" s="76">
        <f>J745</f>
        <v>818019.5</v>
      </c>
      <c r="K744" s="680">
        <f t="shared" si="74"/>
        <v>-818019.5</v>
      </c>
      <c r="L744" s="680">
        <f t="shared" si="75"/>
        <v>-818019.5</v>
      </c>
    </row>
    <row r="745" spans="1:12">
      <c r="A745" s="123" t="s">
        <v>933</v>
      </c>
      <c r="B745" s="70">
        <v>937</v>
      </c>
      <c r="C745" s="68" t="s">
        <v>158</v>
      </c>
      <c r="D745" s="68" t="s">
        <v>162</v>
      </c>
      <c r="E745" s="68"/>
      <c r="F745" s="349"/>
      <c r="G745" s="81">
        <f>G746+G747</f>
        <v>545.29999999999995</v>
      </c>
      <c r="H745" s="81">
        <f>H746+H747</f>
        <v>0</v>
      </c>
      <c r="I745" s="81">
        <f>I746+I747</f>
        <v>818564.8</v>
      </c>
      <c r="J745" s="81">
        <f>J746+J747</f>
        <v>818019.5</v>
      </c>
      <c r="K745" s="680">
        <f t="shared" si="74"/>
        <v>-818019.5</v>
      </c>
      <c r="L745" s="680">
        <f t="shared" si="75"/>
        <v>-818019.5</v>
      </c>
    </row>
    <row r="746" spans="1:12" ht="31.5">
      <c r="A746" s="123" t="s">
        <v>209</v>
      </c>
      <c r="B746" s="70">
        <v>937</v>
      </c>
      <c r="C746" s="68" t="s">
        <v>158</v>
      </c>
      <c r="D746" s="68" t="s">
        <v>162</v>
      </c>
      <c r="E746" s="68" t="s">
        <v>934</v>
      </c>
      <c r="F746" s="349">
        <v>244</v>
      </c>
      <c r="G746" s="81">
        <v>545.29999999999995</v>
      </c>
      <c r="H746" s="81">
        <v>0</v>
      </c>
      <c r="I746" s="81">
        <v>545.29999999999995</v>
      </c>
      <c r="J746" s="81">
        <v>0</v>
      </c>
      <c r="K746" s="680">
        <f t="shared" si="74"/>
        <v>0</v>
      </c>
      <c r="L746" s="680">
        <f t="shared" si="75"/>
        <v>0</v>
      </c>
    </row>
    <row r="747" spans="1:12" ht="94.5" hidden="1">
      <c r="A747" s="712" t="s">
        <v>1099</v>
      </c>
      <c r="B747" s="70">
        <v>937</v>
      </c>
      <c r="C747" s="68" t="s">
        <v>158</v>
      </c>
      <c r="D747" s="68" t="s">
        <v>162</v>
      </c>
      <c r="E747" s="68" t="s">
        <v>1100</v>
      </c>
      <c r="F747" s="349"/>
      <c r="G747" s="81">
        <f>G748</f>
        <v>0</v>
      </c>
      <c r="H747" s="81">
        <f>H748</f>
        <v>0</v>
      </c>
      <c r="I747" s="81">
        <f>I748</f>
        <v>818019.5</v>
      </c>
      <c r="J747" s="81">
        <f>J748</f>
        <v>818019.5</v>
      </c>
      <c r="K747" s="680">
        <f t="shared" si="74"/>
        <v>-818019.5</v>
      </c>
      <c r="L747" s="680">
        <f t="shared" si="75"/>
        <v>-818019.5</v>
      </c>
    </row>
    <row r="748" spans="1:12" ht="31.5" hidden="1">
      <c r="A748" s="123" t="s">
        <v>523</v>
      </c>
      <c r="B748" s="70">
        <v>937</v>
      </c>
      <c r="C748" s="68" t="s">
        <v>158</v>
      </c>
      <c r="D748" s="68" t="s">
        <v>162</v>
      </c>
      <c r="E748" s="68" t="s">
        <v>1100</v>
      </c>
      <c r="F748" s="349">
        <v>414</v>
      </c>
      <c r="G748" s="81">
        <f>818019.5-818019.5</f>
        <v>0</v>
      </c>
      <c r="H748" s="81">
        <f>G748</f>
        <v>0</v>
      </c>
      <c r="I748" s="81">
        <v>818019.5</v>
      </c>
      <c r="J748" s="81">
        <f>I748</f>
        <v>818019.5</v>
      </c>
      <c r="K748" s="680">
        <f t="shared" si="74"/>
        <v>-818019.5</v>
      </c>
      <c r="L748" s="680">
        <f t="shared" si="75"/>
        <v>-818019.5</v>
      </c>
    </row>
    <row r="749" spans="1:12">
      <c r="A749" s="52" t="s">
        <v>307</v>
      </c>
      <c r="B749" s="75" t="s">
        <v>457</v>
      </c>
      <c r="C749" s="75" t="s">
        <v>154</v>
      </c>
      <c r="D749" s="75"/>
      <c r="E749" s="75"/>
      <c r="F749" s="349"/>
      <c r="G749" s="81">
        <f>G750+G757</f>
        <v>8500</v>
      </c>
      <c r="H749" s="81">
        <f t="shared" ref="H749:J753" si="77">H750</f>
        <v>0</v>
      </c>
      <c r="I749" s="81">
        <f>I750+I757</f>
        <v>8500</v>
      </c>
      <c r="J749" s="81">
        <f t="shared" si="77"/>
        <v>0</v>
      </c>
      <c r="K749" s="680">
        <f t="shared" si="74"/>
        <v>0</v>
      </c>
      <c r="L749" s="680">
        <f t="shared" si="75"/>
        <v>0</v>
      </c>
    </row>
    <row r="750" spans="1:12" hidden="1">
      <c r="A750" s="52" t="s">
        <v>274</v>
      </c>
      <c r="B750" s="75" t="s">
        <v>457</v>
      </c>
      <c r="C750" s="75" t="s">
        <v>154</v>
      </c>
      <c r="D750" s="75" t="s">
        <v>152</v>
      </c>
      <c r="E750" s="75"/>
      <c r="F750" s="349"/>
      <c r="G750" s="81">
        <f>G751</f>
        <v>0</v>
      </c>
      <c r="H750" s="81">
        <f>H753</f>
        <v>0</v>
      </c>
      <c r="I750" s="81">
        <f>I751</f>
        <v>0</v>
      </c>
      <c r="J750" s="81">
        <f>J753</f>
        <v>0</v>
      </c>
      <c r="K750" s="680">
        <f t="shared" si="74"/>
        <v>0</v>
      </c>
      <c r="L750" s="680">
        <f t="shared" si="75"/>
        <v>0</v>
      </c>
    </row>
    <row r="751" spans="1:12" ht="40.5" hidden="1" customHeight="1">
      <c r="A751" s="507" t="s">
        <v>819</v>
      </c>
      <c r="B751" s="515" t="s">
        <v>457</v>
      </c>
      <c r="C751" s="515" t="s">
        <v>154</v>
      </c>
      <c r="D751" s="515" t="s">
        <v>152</v>
      </c>
      <c r="E751" s="633" t="s">
        <v>536</v>
      </c>
      <c r="F751" s="634"/>
      <c r="G751" s="377">
        <f>G752+G755</f>
        <v>0</v>
      </c>
      <c r="H751" s="377">
        <f t="shared" ref="H751:J752" si="78">H752</f>
        <v>0</v>
      </c>
      <c r="I751" s="377">
        <f>I752+I755</f>
        <v>0</v>
      </c>
      <c r="J751" s="377">
        <f t="shared" si="78"/>
        <v>0</v>
      </c>
      <c r="K751" s="680">
        <f t="shared" si="74"/>
        <v>0</v>
      </c>
      <c r="L751" s="680">
        <f t="shared" si="75"/>
        <v>0</v>
      </c>
    </row>
    <row r="752" spans="1:12" ht="47.25" hidden="1">
      <c r="A752" s="175" t="s">
        <v>632</v>
      </c>
      <c r="B752" s="172" t="s">
        <v>457</v>
      </c>
      <c r="C752" s="172" t="s">
        <v>154</v>
      </c>
      <c r="D752" s="172" t="s">
        <v>152</v>
      </c>
      <c r="E752" s="276" t="s">
        <v>536</v>
      </c>
      <c r="F752" s="349"/>
      <c r="G752" s="81">
        <f t="shared" ref="G752:I752" si="79">G753</f>
        <v>0</v>
      </c>
      <c r="H752" s="81">
        <f t="shared" si="78"/>
        <v>0</v>
      </c>
      <c r="I752" s="81">
        <f t="shared" si="79"/>
        <v>0</v>
      </c>
      <c r="J752" s="81">
        <f t="shared" si="78"/>
        <v>0</v>
      </c>
      <c r="K752" s="680">
        <f t="shared" si="74"/>
        <v>0</v>
      </c>
      <c r="L752" s="680">
        <f t="shared" si="75"/>
        <v>0</v>
      </c>
    </row>
    <row r="753" spans="1:12" ht="47.25" hidden="1">
      <c r="A753" s="48" t="s">
        <v>557</v>
      </c>
      <c r="B753" s="68" t="s">
        <v>457</v>
      </c>
      <c r="C753" s="68" t="s">
        <v>154</v>
      </c>
      <c r="D753" s="68" t="s">
        <v>152</v>
      </c>
      <c r="E753" s="120" t="s">
        <v>561</v>
      </c>
      <c r="F753" s="68"/>
      <c r="G753" s="81">
        <f t="shared" ref="G753:I753" si="80">G754</f>
        <v>0</v>
      </c>
      <c r="H753" s="81">
        <f t="shared" si="77"/>
        <v>0</v>
      </c>
      <c r="I753" s="81">
        <f t="shared" si="80"/>
        <v>0</v>
      </c>
      <c r="J753" s="81">
        <f t="shared" si="77"/>
        <v>0</v>
      </c>
      <c r="K753" s="680">
        <f t="shared" si="74"/>
        <v>0</v>
      </c>
      <c r="L753" s="680">
        <f t="shared" si="75"/>
        <v>0</v>
      </c>
    </row>
    <row r="754" spans="1:12" ht="40.5" hidden="1" customHeight="1">
      <c r="A754" s="123" t="s">
        <v>523</v>
      </c>
      <c r="B754" s="68" t="s">
        <v>457</v>
      </c>
      <c r="C754" s="68" t="s">
        <v>154</v>
      </c>
      <c r="D754" s="68" t="s">
        <v>152</v>
      </c>
      <c r="E754" s="120" t="s">
        <v>561</v>
      </c>
      <c r="F754" s="68" t="s">
        <v>71</v>
      </c>
      <c r="G754" s="81"/>
      <c r="H754" s="81">
        <f>G754</f>
        <v>0</v>
      </c>
      <c r="I754" s="81"/>
      <c r="J754" s="81">
        <f>I754</f>
        <v>0</v>
      </c>
      <c r="K754" s="680">
        <f t="shared" si="74"/>
        <v>0</v>
      </c>
      <c r="L754" s="680">
        <f t="shared" si="75"/>
        <v>0</v>
      </c>
    </row>
    <row r="755" spans="1:12" ht="63" hidden="1">
      <c r="A755" s="123" t="s">
        <v>888</v>
      </c>
      <c r="B755" s="68" t="s">
        <v>457</v>
      </c>
      <c r="C755" s="68" t="s">
        <v>154</v>
      </c>
      <c r="D755" s="68" t="s">
        <v>152</v>
      </c>
      <c r="E755" s="120" t="s">
        <v>561</v>
      </c>
      <c r="F755" s="68"/>
      <c r="G755" s="81">
        <f>G756</f>
        <v>0</v>
      </c>
      <c r="H755" s="81">
        <v>0</v>
      </c>
      <c r="I755" s="81">
        <f>I756</f>
        <v>0</v>
      </c>
      <c r="J755" s="81">
        <v>0</v>
      </c>
      <c r="K755" s="680">
        <f t="shared" si="74"/>
        <v>0</v>
      </c>
      <c r="L755" s="680">
        <f t="shared" si="75"/>
        <v>0</v>
      </c>
    </row>
    <row r="756" spans="1:12" ht="40.5" hidden="1" customHeight="1">
      <c r="A756" s="123" t="s">
        <v>523</v>
      </c>
      <c r="B756" s="68" t="s">
        <v>457</v>
      </c>
      <c r="C756" s="68" t="s">
        <v>154</v>
      </c>
      <c r="D756" s="68" t="s">
        <v>152</v>
      </c>
      <c r="E756" s="120" t="s">
        <v>561</v>
      </c>
      <c r="F756" s="68" t="s">
        <v>71</v>
      </c>
      <c r="G756" s="81"/>
      <c r="H756" s="81">
        <v>0</v>
      </c>
      <c r="I756" s="81"/>
      <c r="J756" s="81">
        <v>0</v>
      </c>
      <c r="K756" s="680">
        <f t="shared" si="74"/>
        <v>0</v>
      </c>
      <c r="L756" s="680">
        <f t="shared" si="75"/>
        <v>0</v>
      </c>
    </row>
    <row r="757" spans="1:12" ht="40.5" customHeight="1">
      <c r="A757" s="269" t="s">
        <v>364</v>
      </c>
      <c r="B757" s="75" t="s">
        <v>457</v>
      </c>
      <c r="C757" s="75" t="s">
        <v>154</v>
      </c>
      <c r="D757" s="75" t="s">
        <v>155</v>
      </c>
      <c r="E757" s="271"/>
      <c r="F757" s="75"/>
      <c r="G757" s="76">
        <f t="shared" ref="G757:J758" si="81">G758</f>
        <v>8500</v>
      </c>
      <c r="H757" s="81">
        <f t="shared" si="81"/>
        <v>0</v>
      </c>
      <c r="I757" s="76">
        <f t="shared" si="81"/>
        <v>8500</v>
      </c>
      <c r="J757" s="81">
        <f t="shared" si="81"/>
        <v>0</v>
      </c>
      <c r="K757" s="680">
        <f t="shared" si="74"/>
        <v>0</v>
      </c>
      <c r="L757" s="680">
        <f t="shared" si="75"/>
        <v>0</v>
      </c>
    </row>
    <row r="758" spans="1:12" ht="40.5" customHeight="1">
      <c r="A758" s="138" t="s">
        <v>1072</v>
      </c>
      <c r="B758" s="68" t="s">
        <v>457</v>
      </c>
      <c r="C758" s="68" t="s">
        <v>154</v>
      </c>
      <c r="D758" s="68" t="s">
        <v>155</v>
      </c>
      <c r="E758" s="139" t="s">
        <v>429</v>
      </c>
      <c r="F758" s="68"/>
      <c r="G758" s="81">
        <f t="shared" si="81"/>
        <v>8500</v>
      </c>
      <c r="H758" s="81">
        <f t="shared" si="81"/>
        <v>0</v>
      </c>
      <c r="I758" s="81">
        <f t="shared" si="81"/>
        <v>8500</v>
      </c>
      <c r="J758" s="81">
        <f t="shared" si="81"/>
        <v>0</v>
      </c>
      <c r="K758" s="680">
        <f t="shared" si="74"/>
        <v>0</v>
      </c>
      <c r="L758" s="680">
        <f t="shared" si="75"/>
        <v>0</v>
      </c>
    </row>
    <row r="759" spans="1:12" ht="40.5" customHeight="1">
      <c r="A759" s="123" t="s">
        <v>523</v>
      </c>
      <c r="B759" s="68" t="s">
        <v>457</v>
      </c>
      <c r="C759" s="68" t="s">
        <v>154</v>
      </c>
      <c r="D759" s="68" t="s">
        <v>155</v>
      </c>
      <c r="E759" s="139" t="s">
        <v>429</v>
      </c>
      <c r="F759" s="68" t="s">
        <v>71</v>
      </c>
      <c r="G759" s="81">
        <v>8500</v>
      </c>
      <c r="H759" s="81">
        <v>0</v>
      </c>
      <c r="I759" s="81">
        <v>8500</v>
      </c>
      <c r="J759" s="81">
        <v>0</v>
      </c>
      <c r="K759" s="680">
        <f t="shared" si="74"/>
        <v>0</v>
      </c>
      <c r="L759" s="680">
        <f t="shared" si="75"/>
        <v>0</v>
      </c>
    </row>
    <row r="760" spans="1:12" s="62" customFormat="1">
      <c r="A760" s="98" t="s">
        <v>85</v>
      </c>
      <c r="B760" s="68"/>
      <c r="C760" s="68"/>
      <c r="D760" s="68"/>
      <c r="E760" s="68"/>
      <c r="F760" s="74"/>
      <c r="G760" s="76">
        <f>G13+G56+G86+G433+G678</f>
        <v>2097503.0170000005</v>
      </c>
      <c r="H760" s="76">
        <f>H13+H56+H86+H433+H678</f>
        <v>1665859.2999999998</v>
      </c>
      <c r="I760" s="76">
        <f>I13+I56+I86+I433+I678</f>
        <v>2032439.1170000001</v>
      </c>
      <c r="J760" s="76">
        <f>J13+J56+J86+J433+J678</f>
        <v>1586194.4550000001</v>
      </c>
      <c r="K760" s="680">
        <f t="shared" si="74"/>
        <v>65063.900000000373</v>
      </c>
      <c r="L760" s="680">
        <f t="shared" si="75"/>
        <v>79664.844999999739</v>
      </c>
    </row>
    <row r="761" spans="1:12">
      <c r="A761" s="99"/>
    </row>
    <row r="762" spans="1:12">
      <c r="A762" s="99"/>
      <c r="E762" s="57"/>
      <c r="G762" s="57">
        <f>пр.1!D11+пр.3!D11</f>
        <v>2119894.7399999998</v>
      </c>
      <c r="H762" s="319">
        <f>[2]пр.1!D11+[2]пр.3!D13+[2]пр.3!D87</f>
        <v>446731.66987999994</v>
      </c>
      <c r="I762" s="57">
        <f>пр.1!F11+пр.3!F11</f>
        <v>81563.899999999558</v>
      </c>
      <c r="J762" s="319" t="e">
        <f>[2]пр.1!F11+[2]пр.3!F13+[2]пр.3!F87</f>
        <v>#REF!</v>
      </c>
    </row>
    <row r="763" spans="1:12">
      <c r="A763" s="99"/>
      <c r="E763" s="55"/>
      <c r="G763" s="57">
        <f>G762-G760</f>
        <v>22391.7229999993</v>
      </c>
      <c r="H763" s="319">
        <f>H762-I760</f>
        <v>-1585707.4471200001</v>
      </c>
      <c r="I763" s="57">
        <f>I762-I760</f>
        <v>-1950875.2170000006</v>
      </c>
      <c r="J763" s="319" t="e">
        <f>J762-K760</f>
        <v>#REF!</v>
      </c>
    </row>
    <row r="764" spans="1:12">
      <c r="A764" s="416"/>
      <c r="B764" s="417"/>
      <c r="C764" s="417"/>
      <c r="D764" s="417"/>
      <c r="E764" s="428"/>
      <c r="F764" s="417"/>
      <c r="G764" s="418"/>
      <c r="H764" s="741"/>
      <c r="I764" s="418"/>
      <c r="J764" s="741"/>
    </row>
    <row r="765" spans="1:12">
      <c r="A765" s="419"/>
      <c r="B765" s="420"/>
      <c r="C765" s="420"/>
      <c r="D765" s="421"/>
      <c r="E765" s="213"/>
      <c r="F765" s="420"/>
      <c r="G765" s="422"/>
      <c r="H765" s="741"/>
      <c r="I765" s="422"/>
      <c r="J765" s="741"/>
    </row>
    <row r="766" spans="1:12">
      <c r="A766" s="419"/>
      <c r="B766" s="420"/>
      <c r="C766" s="420"/>
      <c r="D766" s="421"/>
      <c r="E766" s="213"/>
      <c r="F766" s="420"/>
      <c r="G766" s="422">
        <f>5891.723+10000+6500</f>
        <v>22391.722999999998</v>
      </c>
      <c r="H766" s="741"/>
      <c r="I766" s="422"/>
      <c r="J766" s="741"/>
    </row>
    <row r="767" spans="1:12" hidden="1">
      <c r="A767" s="411"/>
      <c r="B767" s="412"/>
      <c r="C767" s="412"/>
      <c r="D767" s="412"/>
      <c r="E767" s="413"/>
      <c r="F767" s="414"/>
      <c r="G767" s="415"/>
      <c r="H767" s="742"/>
      <c r="I767" s="415"/>
      <c r="J767" s="742"/>
    </row>
    <row r="768" spans="1:12">
      <c r="E768" s="55"/>
      <c r="G768" s="57">
        <f>G763-G766</f>
        <v>-6.9849193096160889E-10</v>
      </c>
      <c r="H768" s="57"/>
      <c r="J768" s="57"/>
    </row>
  </sheetData>
  <sheetProtection selectLockedCells="1"/>
  <autoFilter ref="A12:G766"/>
  <mergeCells count="8">
    <mergeCell ref="A9:G10"/>
    <mergeCell ref="D1:G1"/>
    <mergeCell ref="B2:G2"/>
    <mergeCell ref="C3:G3"/>
    <mergeCell ref="C4:G4"/>
    <mergeCell ref="C5:G5"/>
    <mergeCell ref="C6:G6"/>
    <mergeCell ref="C7:G7"/>
  </mergeCells>
  <phoneticPr fontId="14" type="noConversion"/>
  <hyperlinks>
    <hyperlink ref="A80" r:id="rId1" tooltip="Муниципальные образования" display="http://www.pandia.ru/text/category/munitcipalmznie_obrazovaniya/"/>
  </hyperlinks>
  <pageMargins left="0.70866141732283472" right="0.55118110236220474" top="0" bottom="0" header="0.23622047244094491" footer="0.31496062992125984"/>
  <pageSetup paperSize="9" scale="47" fitToWidth="14" fitToHeight="14" orientation="portrait" r:id="rId2"/>
  <rowBreaks count="1" manualBreakCount="1">
    <brk id="688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N577"/>
  <sheetViews>
    <sheetView tabSelected="1" view="pageBreakPreview" zoomScale="73" zoomScaleSheetLayoutView="73" workbookViewId="0">
      <selection activeCell="H213" sqref="H213"/>
    </sheetView>
  </sheetViews>
  <sheetFormatPr defaultRowHeight="15.75"/>
  <cols>
    <col min="1" max="1" width="72.5703125" style="96" customWidth="1"/>
    <col min="2" max="2" width="10.7109375" style="42" customWidth="1"/>
    <col min="3" max="3" width="7.85546875" style="42" customWidth="1"/>
    <col min="4" max="4" width="9" style="42" customWidth="1"/>
    <col min="5" max="5" width="16.5703125" style="90" customWidth="1"/>
    <col min="6" max="6" width="10" style="56" customWidth="1"/>
    <col min="7" max="7" width="18.28515625" style="57" customWidth="1"/>
    <col min="8" max="8" width="19.140625" style="57" customWidth="1"/>
    <col min="9" max="16384" width="9.140625" style="42"/>
  </cols>
  <sheetData>
    <row r="1" spans="1:8">
      <c r="D1" s="310"/>
      <c r="E1" s="861" t="s">
        <v>47</v>
      </c>
      <c r="F1" s="861"/>
      <c r="G1" s="861"/>
      <c r="H1" s="861"/>
    </row>
    <row r="2" spans="1:8">
      <c r="D2" s="310"/>
      <c r="E2" s="861" t="s">
        <v>141</v>
      </c>
      <c r="F2" s="861"/>
      <c r="G2" s="861"/>
      <c r="H2" s="861"/>
    </row>
    <row r="3" spans="1:8">
      <c r="E3" s="310"/>
      <c r="F3" s="861" t="s">
        <v>240</v>
      </c>
      <c r="G3" s="861"/>
      <c r="H3" s="861"/>
    </row>
    <row r="4" spans="1:8">
      <c r="D4" s="310"/>
      <c r="E4" s="310"/>
      <c r="F4" s="861" t="s">
        <v>104</v>
      </c>
      <c r="G4" s="861"/>
      <c r="H4" s="861"/>
    </row>
    <row r="5" spans="1:8">
      <c r="E5" s="310"/>
      <c r="F5" s="861" t="s">
        <v>241</v>
      </c>
      <c r="G5" s="861"/>
      <c r="H5" s="861"/>
    </row>
    <row r="6" spans="1:8">
      <c r="E6" s="861" t="s">
        <v>1204</v>
      </c>
      <c r="F6" s="861"/>
      <c r="G6" s="861"/>
      <c r="H6" s="861"/>
    </row>
    <row r="7" spans="1:8" ht="15.75" customHeight="1">
      <c r="D7" s="44"/>
      <c r="E7" s="861" t="s">
        <v>1205</v>
      </c>
      <c r="F7" s="861"/>
      <c r="G7" s="861"/>
      <c r="H7" s="861"/>
    </row>
    <row r="8" spans="1:8">
      <c r="G8" s="57" t="s">
        <v>86</v>
      </c>
    </row>
    <row r="9" spans="1:8" ht="15.75" customHeight="1">
      <c r="A9" s="857" t="s">
        <v>1173</v>
      </c>
      <c r="B9" s="857"/>
      <c r="C9" s="857"/>
      <c r="D9" s="857"/>
      <c r="E9" s="857"/>
      <c r="F9" s="857"/>
      <c r="G9" s="857"/>
      <c r="H9" s="274"/>
    </row>
    <row r="10" spans="1:8">
      <c r="A10" s="857"/>
      <c r="B10" s="857"/>
      <c r="C10" s="857"/>
      <c r="D10" s="857"/>
      <c r="E10" s="857"/>
      <c r="F10" s="857"/>
      <c r="G10" s="857"/>
      <c r="H10" s="274"/>
    </row>
    <row r="11" spans="1:8">
      <c r="B11" s="58"/>
      <c r="C11" s="58"/>
      <c r="D11" s="58"/>
      <c r="E11" s="91"/>
      <c r="F11" s="59"/>
      <c r="G11" s="485" t="s">
        <v>105</v>
      </c>
      <c r="H11" s="438" t="s">
        <v>105</v>
      </c>
    </row>
    <row r="12" spans="1:8" s="62" customFormat="1" ht="31.5">
      <c r="A12" s="65" t="s">
        <v>146</v>
      </c>
      <c r="B12" s="65" t="s">
        <v>239</v>
      </c>
      <c r="C12" s="65" t="s">
        <v>147</v>
      </c>
      <c r="D12" s="65" t="s">
        <v>148</v>
      </c>
      <c r="E12" s="88" t="s">
        <v>149</v>
      </c>
      <c r="F12" s="65" t="s">
        <v>150</v>
      </c>
      <c r="G12" s="61" t="s">
        <v>938</v>
      </c>
      <c r="H12" s="300" t="s">
        <v>1178</v>
      </c>
    </row>
    <row r="13" spans="1:8" s="62" customFormat="1">
      <c r="A13" s="95" t="s">
        <v>134</v>
      </c>
      <c r="B13" s="71">
        <v>930</v>
      </c>
      <c r="C13" s="72"/>
      <c r="D13" s="72"/>
      <c r="E13" s="72"/>
      <c r="F13" s="72"/>
      <c r="G13" s="73">
        <f>G14</f>
        <v>5833.75</v>
      </c>
      <c r="H13" s="73">
        <f>H14</f>
        <v>5833.75</v>
      </c>
    </row>
    <row r="14" spans="1:8" s="62" customFormat="1">
      <c r="A14" s="52" t="s">
        <v>166</v>
      </c>
      <c r="B14" s="74">
        <v>930</v>
      </c>
      <c r="C14" s="75" t="s">
        <v>152</v>
      </c>
      <c r="D14" s="75"/>
      <c r="E14" s="75"/>
      <c r="F14" s="75"/>
      <c r="G14" s="76">
        <f>G15+G27</f>
        <v>5833.75</v>
      </c>
      <c r="H14" s="76">
        <f>H15+H27</f>
        <v>5833.75</v>
      </c>
    </row>
    <row r="15" spans="1:8" s="62" customFormat="1" ht="47.25">
      <c r="A15" s="51" t="s">
        <v>272</v>
      </c>
      <c r="B15" s="77">
        <v>930</v>
      </c>
      <c r="C15" s="78" t="s">
        <v>152</v>
      </c>
      <c r="D15" s="78" t="s">
        <v>155</v>
      </c>
      <c r="E15" s="78"/>
      <c r="F15" s="78"/>
      <c r="G15" s="79">
        <f>G16+G24</f>
        <v>2839.3</v>
      </c>
      <c r="H15" s="79">
        <f>H16+H24</f>
        <v>2839.3</v>
      </c>
    </row>
    <row r="16" spans="1:8" s="62" customFormat="1" ht="31.5">
      <c r="A16" s="49" t="s">
        <v>323</v>
      </c>
      <c r="B16" s="69">
        <v>930</v>
      </c>
      <c r="C16" s="67" t="s">
        <v>152</v>
      </c>
      <c r="D16" s="67" t="s">
        <v>155</v>
      </c>
      <c r="E16" s="67" t="s">
        <v>382</v>
      </c>
      <c r="F16" s="75"/>
      <c r="G16" s="76">
        <f>G17+G21</f>
        <v>2269.3000000000002</v>
      </c>
      <c r="H16" s="76">
        <f>H17+H21</f>
        <v>2269.3000000000002</v>
      </c>
    </row>
    <row r="17" spans="1:8" s="62" customFormat="1" ht="21.75" customHeight="1">
      <c r="A17" s="46" t="s">
        <v>298</v>
      </c>
      <c r="B17" s="69">
        <v>930</v>
      </c>
      <c r="C17" s="67" t="s">
        <v>152</v>
      </c>
      <c r="D17" s="67" t="s">
        <v>155</v>
      </c>
      <c r="E17" s="67" t="s">
        <v>383</v>
      </c>
      <c r="F17" s="67"/>
      <c r="G17" s="169">
        <f>G18+G19+G20</f>
        <v>494.20000000000005</v>
      </c>
      <c r="H17" s="169">
        <f>H18+H19+H20</f>
        <v>494.20000000000005</v>
      </c>
    </row>
    <row r="18" spans="1:8" s="62" customFormat="1">
      <c r="A18" s="48" t="s">
        <v>324</v>
      </c>
      <c r="B18" s="70">
        <v>930</v>
      </c>
      <c r="C18" s="68" t="s">
        <v>152</v>
      </c>
      <c r="D18" s="68" t="s">
        <v>155</v>
      </c>
      <c r="E18" s="67" t="s">
        <v>383</v>
      </c>
      <c r="F18" s="68" t="s">
        <v>311</v>
      </c>
      <c r="G18" s="167">
        <v>302.8</v>
      </c>
      <c r="H18" s="167">
        <v>302.8</v>
      </c>
    </row>
    <row r="19" spans="1:8" s="62" customFormat="1" ht="47.25">
      <c r="A19" s="164" t="s">
        <v>325</v>
      </c>
      <c r="B19" s="70">
        <v>930</v>
      </c>
      <c r="C19" s="68" t="s">
        <v>152</v>
      </c>
      <c r="D19" s="68" t="s">
        <v>155</v>
      </c>
      <c r="E19" s="67" t="s">
        <v>383</v>
      </c>
      <c r="F19" s="68" t="s">
        <v>326</v>
      </c>
      <c r="G19" s="167">
        <v>91.4</v>
      </c>
      <c r="H19" s="167">
        <v>91.4</v>
      </c>
    </row>
    <row r="20" spans="1:8" s="62" customFormat="1" ht="35.25" customHeight="1">
      <c r="A20" s="123" t="s">
        <v>209</v>
      </c>
      <c r="B20" s="70">
        <v>930</v>
      </c>
      <c r="C20" s="68" t="s">
        <v>152</v>
      </c>
      <c r="D20" s="68" t="s">
        <v>155</v>
      </c>
      <c r="E20" s="67" t="s">
        <v>383</v>
      </c>
      <c r="F20" s="68" t="s">
        <v>312</v>
      </c>
      <c r="G20" s="167">
        <v>100</v>
      </c>
      <c r="H20" s="167">
        <v>100</v>
      </c>
    </row>
    <row r="21" spans="1:8" s="62" customFormat="1" ht="31.5">
      <c r="A21" s="49" t="s">
        <v>290</v>
      </c>
      <c r="B21" s="70">
        <v>930</v>
      </c>
      <c r="C21" s="67" t="s">
        <v>152</v>
      </c>
      <c r="D21" s="67" t="s">
        <v>155</v>
      </c>
      <c r="E21" s="67" t="s">
        <v>889</v>
      </c>
      <c r="F21" s="67"/>
      <c r="G21" s="169">
        <f>G22+G23</f>
        <v>1775.1000000000001</v>
      </c>
      <c r="H21" s="169">
        <f>H22+H23</f>
        <v>1775.1000000000001</v>
      </c>
    </row>
    <row r="22" spans="1:8" s="62" customFormat="1">
      <c r="A22" s="48" t="s">
        <v>324</v>
      </c>
      <c r="B22" s="70">
        <v>930</v>
      </c>
      <c r="C22" s="68" t="s">
        <v>152</v>
      </c>
      <c r="D22" s="68" t="s">
        <v>155</v>
      </c>
      <c r="E22" s="67" t="s">
        <v>889</v>
      </c>
      <c r="F22" s="68" t="s">
        <v>311</v>
      </c>
      <c r="G22" s="167">
        <v>1363.4</v>
      </c>
      <c r="H22" s="167">
        <v>1363.4</v>
      </c>
    </row>
    <row r="23" spans="1:8" s="62" customFormat="1" ht="47.25">
      <c r="A23" s="164" t="s">
        <v>325</v>
      </c>
      <c r="B23" s="70">
        <v>930</v>
      </c>
      <c r="C23" s="68" t="s">
        <v>152</v>
      </c>
      <c r="D23" s="68" t="s">
        <v>155</v>
      </c>
      <c r="E23" s="67" t="s">
        <v>889</v>
      </c>
      <c r="F23" s="68" t="s">
        <v>326</v>
      </c>
      <c r="G23" s="167">
        <v>411.7</v>
      </c>
      <c r="H23" s="167">
        <v>411.7</v>
      </c>
    </row>
    <row r="24" spans="1:8" s="62" customFormat="1">
      <c r="A24" s="49" t="s">
        <v>111</v>
      </c>
      <c r="B24" s="69">
        <v>930</v>
      </c>
      <c r="C24" s="67" t="s">
        <v>152</v>
      </c>
      <c r="D24" s="67" t="s">
        <v>155</v>
      </c>
      <c r="E24" s="67" t="s">
        <v>384</v>
      </c>
      <c r="F24" s="68"/>
      <c r="G24" s="167">
        <f t="shared" ref="G24:H25" si="0">G25</f>
        <v>570</v>
      </c>
      <c r="H24" s="167">
        <f t="shared" si="0"/>
        <v>570</v>
      </c>
    </row>
    <row r="25" spans="1:8" s="64" customFormat="1" ht="31.5">
      <c r="A25" s="49" t="s">
        <v>297</v>
      </c>
      <c r="B25" s="69">
        <v>930</v>
      </c>
      <c r="C25" s="67" t="s">
        <v>152</v>
      </c>
      <c r="D25" s="67" t="s">
        <v>155</v>
      </c>
      <c r="E25" s="67" t="s">
        <v>1</v>
      </c>
      <c r="F25" s="67"/>
      <c r="G25" s="169">
        <f t="shared" si="0"/>
        <v>570</v>
      </c>
      <c r="H25" s="169">
        <f t="shared" si="0"/>
        <v>570</v>
      </c>
    </row>
    <row r="26" spans="1:8" s="62" customFormat="1" ht="51" customHeight="1">
      <c r="A26" s="138" t="s">
        <v>95</v>
      </c>
      <c r="B26" s="124">
        <v>930</v>
      </c>
      <c r="C26" s="120" t="s">
        <v>152</v>
      </c>
      <c r="D26" s="120" t="s">
        <v>155</v>
      </c>
      <c r="E26" s="68" t="s">
        <v>1</v>
      </c>
      <c r="F26" s="120" t="s">
        <v>96</v>
      </c>
      <c r="G26" s="119">
        <v>570</v>
      </c>
      <c r="H26" s="119">
        <v>570</v>
      </c>
    </row>
    <row r="27" spans="1:8" s="62" customFormat="1" ht="31.5">
      <c r="A27" s="277" t="s">
        <v>109</v>
      </c>
      <c r="B27" s="278">
        <v>930</v>
      </c>
      <c r="C27" s="279" t="s">
        <v>152</v>
      </c>
      <c r="D27" s="279" t="s">
        <v>158</v>
      </c>
      <c r="E27" s="279"/>
      <c r="F27" s="279"/>
      <c r="G27" s="187">
        <f>G28</f>
        <v>2994.45</v>
      </c>
      <c r="H27" s="187">
        <f>H28</f>
        <v>2994.45</v>
      </c>
    </row>
    <row r="28" spans="1:8" s="62" customFormat="1" ht="31.5">
      <c r="A28" s="277" t="s">
        <v>109</v>
      </c>
      <c r="B28" s="278">
        <v>930</v>
      </c>
      <c r="C28" s="279" t="s">
        <v>152</v>
      </c>
      <c r="D28" s="279" t="s">
        <v>158</v>
      </c>
      <c r="E28" s="279"/>
      <c r="F28" s="301"/>
      <c r="G28" s="318">
        <f>G29+G33</f>
        <v>2994.45</v>
      </c>
      <c r="H28" s="318">
        <f>H29+H33</f>
        <v>2994.45</v>
      </c>
    </row>
    <row r="29" spans="1:8" s="62" customFormat="1" ht="31.5">
      <c r="A29" s="186" t="s">
        <v>295</v>
      </c>
      <c r="B29" s="276">
        <v>930</v>
      </c>
      <c r="C29" s="168" t="s">
        <v>152</v>
      </c>
      <c r="D29" s="168" t="s">
        <v>158</v>
      </c>
      <c r="E29" s="168" t="s">
        <v>890</v>
      </c>
      <c r="F29" s="75"/>
      <c r="G29" s="76">
        <f>G30</f>
        <v>552.79999999999995</v>
      </c>
      <c r="H29" s="76">
        <f>H30</f>
        <v>552.79999999999995</v>
      </c>
    </row>
    <row r="30" spans="1:8" s="62" customFormat="1">
      <c r="A30" s="48" t="s">
        <v>324</v>
      </c>
      <c r="B30" s="70">
        <v>930</v>
      </c>
      <c r="C30" s="68" t="s">
        <v>152</v>
      </c>
      <c r="D30" s="68" t="s">
        <v>158</v>
      </c>
      <c r="E30" s="172" t="s">
        <v>890</v>
      </c>
      <c r="F30" s="168"/>
      <c r="G30" s="169">
        <f>G31+G32</f>
        <v>552.79999999999995</v>
      </c>
      <c r="H30" s="169">
        <f>H31+H32</f>
        <v>552.79999999999995</v>
      </c>
    </row>
    <row r="31" spans="1:8" s="62" customFormat="1">
      <c r="A31" s="48" t="s">
        <v>324</v>
      </c>
      <c r="B31" s="70">
        <v>930</v>
      </c>
      <c r="C31" s="68" t="s">
        <v>152</v>
      </c>
      <c r="D31" s="68" t="s">
        <v>158</v>
      </c>
      <c r="E31" s="172" t="s">
        <v>890</v>
      </c>
      <c r="F31" s="68" t="s">
        <v>311</v>
      </c>
      <c r="G31" s="119">
        <v>424.57799999999997</v>
      </c>
      <c r="H31" s="119">
        <v>424.57799999999997</v>
      </c>
    </row>
    <row r="32" spans="1:8" s="62" customFormat="1" ht="47.25">
      <c r="A32" s="164" t="s">
        <v>325</v>
      </c>
      <c r="B32" s="70">
        <v>930</v>
      </c>
      <c r="C32" s="68" t="s">
        <v>152</v>
      </c>
      <c r="D32" s="68" t="s">
        <v>158</v>
      </c>
      <c r="E32" s="172" t="s">
        <v>890</v>
      </c>
      <c r="F32" s="68" t="s">
        <v>326</v>
      </c>
      <c r="G32" s="119">
        <v>128.22200000000001</v>
      </c>
      <c r="H32" s="119">
        <v>128.22200000000001</v>
      </c>
    </row>
    <row r="33" spans="1:8" s="62" customFormat="1" ht="31.5">
      <c r="A33" s="173" t="s">
        <v>323</v>
      </c>
      <c r="B33" s="276">
        <v>930</v>
      </c>
      <c r="C33" s="172" t="s">
        <v>152</v>
      </c>
      <c r="D33" s="172" t="s">
        <v>158</v>
      </c>
      <c r="E33" s="172" t="s">
        <v>382</v>
      </c>
      <c r="F33" s="68"/>
      <c r="G33" s="119">
        <f>G34+G38</f>
        <v>2441.6499999999996</v>
      </c>
      <c r="H33" s="119">
        <f>H34+H38</f>
        <v>2441.6499999999996</v>
      </c>
    </row>
    <row r="34" spans="1:8" s="62" customFormat="1" ht="31.5">
      <c r="A34" s="173" t="s">
        <v>291</v>
      </c>
      <c r="B34" s="276">
        <v>930</v>
      </c>
      <c r="C34" s="172" t="s">
        <v>152</v>
      </c>
      <c r="D34" s="172" t="s">
        <v>158</v>
      </c>
      <c r="E34" s="172" t="s">
        <v>891</v>
      </c>
      <c r="F34" s="168"/>
      <c r="G34" s="169">
        <f>G35+G37+G36</f>
        <v>1427.1999999999998</v>
      </c>
      <c r="H34" s="169">
        <f>H35+H37+H36</f>
        <v>1427.1999999999998</v>
      </c>
    </row>
    <row r="35" spans="1:8" s="62" customFormat="1">
      <c r="A35" s="48" t="s">
        <v>324</v>
      </c>
      <c r="B35" s="70">
        <v>930</v>
      </c>
      <c r="C35" s="68" t="s">
        <v>152</v>
      </c>
      <c r="D35" s="68" t="s">
        <v>158</v>
      </c>
      <c r="E35" s="172" t="s">
        <v>891</v>
      </c>
      <c r="F35" s="68" t="s">
        <v>311</v>
      </c>
      <c r="G35" s="81">
        <v>1080.8</v>
      </c>
      <c r="H35" s="81">
        <v>1080.8</v>
      </c>
    </row>
    <row r="36" spans="1:8" s="62" customFormat="1" ht="31.5">
      <c r="A36" s="48" t="s">
        <v>6</v>
      </c>
      <c r="B36" s="70">
        <v>930</v>
      </c>
      <c r="C36" s="68" t="s">
        <v>152</v>
      </c>
      <c r="D36" s="68" t="s">
        <v>158</v>
      </c>
      <c r="E36" s="172" t="s">
        <v>891</v>
      </c>
      <c r="F36" s="68" t="s">
        <v>316</v>
      </c>
      <c r="G36" s="81">
        <v>20</v>
      </c>
      <c r="H36" s="81">
        <v>20</v>
      </c>
    </row>
    <row r="37" spans="1:8" s="64" customFormat="1" ht="47.25">
      <c r="A37" s="164" t="s">
        <v>325</v>
      </c>
      <c r="B37" s="70">
        <v>930</v>
      </c>
      <c r="C37" s="68" t="s">
        <v>152</v>
      </c>
      <c r="D37" s="68" t="s">
        <v>158</v>
      </c>
      <c r="E37" s="172" t="s">
        <v>891</v>
      </c>
      <c r="F37" s="68" t="s">
        <v>326</v>
      </c>
      <c r="G37" s="81">
        <v>326.39999999999998</v>
      </c>
      <c r="H37" s="81">
        <v>326.39999999999998</v>
      </c>
    </row>
    <row r="38" spans="1:8" s="62" customFormat="1" ht="31.5">
      <c r="A38" s="186" t="s">
        <v>180</v>
      </c>
      <c r="B38" s="275">
        <v>930</v>
      </c>
      <c r="C38" s="168" t="s">
        <v>152</v>
      </c>
      <c r="D38" s="168" t="s">
        <v>158</v>
      </c>
      <c r="E38" s="168" t="s">
        <v>892</v>
      </c>
      <c r="F38" s="168"/>
      <c r="G38" s="169">
        <f>G39+G41+G40+G42</f>
        <v>1014.4499999999999</v>
      </c>
      <c r="H38" s="169">
        <f>H39+H41+H40+H42</f>
        <v>1014.4499999999999</v>
      </c>
    </row>
    <row r="39" spans="1:8" s="62" customFormat="1">
      <c r="A39" s="48" t="s">
        <v>324</v>
      </c>
      <c r="B39" s="70">
        <v>930</v>
      </c>
      <c r="C39" s="68" t="s">
        <v>152</v>
      </c>
      <c r="D39" s="68" t="s">
        <v>158</v>
      </c>
      <c r="E39" s="172" t="s">
        <v>892</v>
      </c>
      <c r="F39" s="68" t="s">
        <v>311</v>
      </c>
      <c r="G39" s="81">
        <v>534.4</v>
      </c>
      <c r="H39" s="81">
        <v>534.4</v>
      </c>
    </row>
    <row r="40" spans="1:8" s="62" customFormat="1" ht="31.5">
      <c r="A40" s="48" t="s">
        <v>6</v>
      </c>
      <c r="B40" s="70">
        <v>930</v>
      </c>
      <c r="C40" s="68" t="s">
        <v>152</v>
      </c>
      <c r="D40" s="68" t="s">
        <v>158</v>
      </c>
      <c r="E40" s="172" t="s">
        <v>892</v>
      </c>
      <c r="F40" s="68" t="s">
        <v>316</v>
      </c>
      <c r="G40" s="81">
        <v>20</v>
      </c>
      <c r="H40" s="81">
        <v>20</v>
      </c>
    </row>
    <row r="41" spans="1:8" s="62" customFormat="1" ht="31.5">
      <c r="A41" s="48" t="s">
        <v>110</v>
      </c>
      <c r="B41" s="70">
        <v>930</v>
      </c>
      <c r="C41" s="68" t="s">
        <v>152</v>
      </c>
      <c r="D41" s="68" t="s">
        <v>158</v>
      </c>
      <c r="E41" s="172" t="s">
        <v>892</v>
      </c>
      <c r="F41" s="68" t="s">
        <v>326</v>
      </c>
      <c r="G41" s="81">
        <v>161.4</v>
      </c>
      <c r="H41" s="81">
        <v>161.4</v>
      </c>
    </row>
    <row r="42" spans="1:8" s="62" customFormat="1" ht="31.5">
      <c r="A42" s="123" t="s">
        <v>209</v>
      </c>
      <c r="B42" s="70">
        <v>930</v>
      </c>
      <c r="C42" s="68" t="s">
        <v>152</v>
      </c>
      <c r="D42" s="68" t="s">
        <v>158</v>
      </c>
      <c r="E42" s="172" t="s">
        <v>892</v>
      </c>
      <c r="F42" s="68" t="s">
        <v>312</v>
      </c>
      <c r="G42" s="81">
        <v>298.64999999999998</v>
      </c>
      <c r="H42" s="81">
        <v>298.64999999999998</v>
      </c>
    </row>
    <row r="43" spans="1:8" s="62" customFormat="1">
      <c r="A43" s="95" t="s">
        <v>135</v>
      </c>
      <c r="B43" s="71">
        <v>931</v>
      </c>
      <c r="C43" s="72"/>
      <c r="D43" s="72"/>
      <c r="E43" s="72"/>
      <c r="F43" s="72"/>
      <c r="G43" s="73">
        <f>G44+G58</f>
        <v>58065.37</v>
      </c>
      <c r="H43" s="73">
        <f>H44+H58+H54</f>
        <v>57141.87000000001</v>
      </c>
    </row>
    <row r="44" spans="1:8">
      <c r="A44" s="52" t="s">
        <v>166</v>
      </c>
      <c r="B44" s="74">
        <v>931</v>
      </c>
      <c r="C44" s="75" t="s">
        <v>152</v>
      </c>
      <c r="D44" s="75"/>
      <c r="E44" s="75"/>
      <c r="F44" s="75"/>
      <c r="G44" s="76">
        <f>G45</f>
        <v>12674.37</v>
      </c>
      <c r="H44" s="76">
        <f>H45</f>
        <v>11746.77</v>
      </c>
    </row>
    <row r="45" spans="1:8" s="63" customFormat="1" ht="31.5">
      <c r="A45" s="51" t="s">
        <v>109</v>
      </c>
      <c r="B45" s="77">
        <v>931</v>
      </c>
      <c r="C45" s="78" t="s">
        <v>152</v>
      </c>
      <c r="D45" s="78" t="s">
        <v>158</v>
      </c>
      <c r="E45" s="75"/>
      <c r="F45" s="78"/>
      <c r="G45" s="79">
        <f>G46+G54</f>
        <v>12674.37</v>
      </c>
      <c r="H45" s="79">
        <f>H46</f>
        <v>11746.77</v>
      </c>
    </row>
    <row r="46" spans="1:8" s="63" customFormat="1">
      <c r="A46" s="164" t="s">
        <v>83</v>
      </c>
      <c r="B46" s="70">
        <v>931</v>
      </c>
      <c r="C46" s="68" t="s">
        <v>152</v>
      </c>
      <c r="D46" s="68" t="s">
        <v>158</v>
      </c>
      <c r="E46" s="68" t="s">
        <v>0</v>
      </c>
      <c r="F46" s="78"/>
      <c r="G46" s="81">
        <f>G47+G51</f>
        <v>11746.77</v>
      </c>
      <c r="H46" s="81">
        <f>H47+H51</f>
        <v>11746.77</v>
      </c>
    </row>
    <row r="47" spans="1:8" s="63" customFormat="1" ht="31.5">
      <c r="A47" s="48" t="s">
        <v>323</v>
      </c>
      <c r="B47" s="70">
        <v>931</v>
      </c>
      <c r="C47" s="68" t="s">
        <v>152</v>
      </c>
      <c r="D47" s="68" t="s">
        <v>158</v>
      </c>
      <c r="E47" s="68" t="s">
        <v>382</v>
      </c>
      <c r="F47" s="78"/>
      <c r="G47" s="81">
        <f>G48</f>
        <v>7322.77</v>
      </c>
      <c r="H47" s="81">
        <f>H48</f>
        <v>7322.77</v>
      </c>
    </row>
    <row r="48" spans="1:8" s="63" customFormat="1">
      <c r="A48" s="97" t="s">
        <v>298</v>
      </c>
      <c r="B48" s="70">
        <v>931</v>
      </c>
      <c r="C48" s="68" t="s">
        <v>152</v>
      </c>
      <c r="D48" s="68" t="s">
        <v>158</v>
      </c>
      <c r="E48" s="68" t="s">
        <v>383</v>
      </c>
      <c r="F48" s="78"/>
      <c r="G48" s="81">
        <f>G49+G50</f>
        <v>7322.77</v>
      </c>
      <c r="H48" s="81">
        <f>H49+H50</f>
        <v>7322.77</v>
      </c>
    </row>
    <row r="49" spans="1:8" s="63" customFormat="1">
      <c r="A49" s="48" t="s">
        <v>324</v>
      </c>
      <c r="B49" s="70">
        <v>931</v>
      </c>
      <c r="C49" s="68" t="s">
        <v>152</v>
      </c>
      <c r="D49" s="68" t="s">
        <v>158</v>
      </c>
      <c r="E49" s="68" t="s">
        <v>383</v>
      </c>
      <c r="F49" s="68" t="s">
        <v>311</v>
      </c>
      <c r="G49" s="81">
        <v>5624.27</v>
      </c>
      <c r="H49" s="81">
        <v>5624.27</v>
      </c>
    </row>
    <row r="50" spans="1:8" s="63" customFormat="1" ht="30.75" customHeight="1">
      <c r="A50" s="164" t="s">
        <v>325</v>
      </c>
      <c r="B50" s="70">
        <v>931</v>
      </c>
      <c r="C50" s="68" t="s">
        <v>152</v>
      </c>
      <c r="D50" s="68" t="s">
        <v>158</v>
      </c>
      <c r="E50" s="68" t="s">
        <v>383</v>
      </c>
      <c r="F50" s="68" t="s">
        <v>326</v>
      </c>
      <c r="G50" s="81">
        <v>1698.5</v>
      </c>
      <c r="H50" s="81">
        <v>1698.5</v>
      </c>
    </row>
    <row r="51" spans="1:8" s="63" customFormat="1" ht="42" customHeight="1">
      <c r="A51" s="48" t="s">
        <v>136</v>
      </c>
      <c r="B51" s="70">
        <v>931</v>
      </c>
      <c r="C51" s="68" t="s">
        <v>152</v>
      </c>
      <c r="D51" s="68" t="s">
        <v>158</v>
      </c>
      <c r="E51" s="68" t="s">
        <v>951</v>
      </c>
      <c r="F51" s="78"/>
      <c r="G51" s="81">
        <f>G52+G53</f>
        <v>4424</v>
      </c>
      <c r="H51" s="81">
        <f>H52+H53</f>
        <v>4424</v>
      </c>
    </row>
    <row r="52" spans="1:8" s="63" customFormat="1" ht="26.25" customHeight="1">
      <c r="A52" s="48" t="s">
        <v>324</v>
      </c>
      <c r="B52" s="70">
        <v>931</v>
      </c>
      <c r="C52" s="68" t="s">
        <v>152</v>
      </c>
      <c r="D52" s="68" t="s">
        <v>158</v>
      </c>
      <c r="E52" s="68" t="s">
        <v>951</v>
      </c>
      <c r="F52" s="68" t="s">
        <v>311</v>
      </c>
      <c r="G52" s="81">
        <v>3397.8490000000002</v>
      </c>
      <c r="H52" s="81">
        <v>3397.8490000000002</v>
      </c>
    </row>
    <row r="53" spans="1:8" s="63" customFormat="1" ht="54.75" customHeight="1">
      <c r="A53" s="164" t="s">
        <v>325</v>
      </c>
      <c r="B53" s="70">
        <v>931</v>
      </c>
      <c r="C53" s="68" t="s">
        <v>152</v>
      </c>
      <c r="D53" s="68" t="s">
        <v>158</v>
      </c>
      <c r="E53" s="68" t="s">
        <v>951</v>
      </c>
      <c r="F53" s="68" t="s">
        <v>326</v>
      </c>
      <c r="G53" s="81">
        <v>1026.1510000000001</v>
      </c>
      <c r="H53" s="81">
        <v>1026.1510000000001</v>
      </c>
    </row>
    <row r="54" spans="1:8" s="63" customFormat="1" ht="42.75" customHeight="1">
      <c r="A54" s="142" t="s">
        <v>947</v>
      </c>
      <c r="B54" s="143">
        <v>931</v>
      </c>
      <c r="C54" s="144" t="s">
        <v>152</v>
      </c>
      <c r="D54" s="144" t="s">
        <v>158</v>
      </c>
      <c r="E54" s="144" t="s">
        <v>611</v>
      </c>
      <c r="F54" s="145"/>
      <c r="G54" s="154">
        <f>G55</f>
        <v>927.6</v>
      </c>
      <c r="H54" s="154">
        <f>H55</f>
        <v>0</v>
      </c>
    </row>
    <row r="55" spans="1:8" s="63" customFormat="1">
      <c r="A55" s="186" t="s">
        <v>638</v>
      </c>
      <c r="B55" s="276">
        <v>931</v>
      </c>
      <c r="C55" s="172" t="s">
        <v>152</v>
      </c>
      <c r="D55" s="172" t="s">
        <v>158</v>
      </c>
      <c r="E55" s="172" t="s">
        <v>614</v>
      </c>
      <c r="F55" s="524"/>
      <c r="G55" s="169">
        <f>G56+G57</f>
        <v>927.6</v>
      </c>
      <c r="H55" s="169">
        <f>H56+H57</f>
        <v>0</v>
      </c>
    </row>
    <row r="56" spans="1:8" ht="31.5">
      <c r="A56" s="97" t="s">
        <v>317</v>
      </c>
      <c r="B56" s="70">
        <v>931</v>
      </c>
      <c r="C56" s="68" t="s">
        <v>152</v>
      </c>
      <c r="D56" s="68" t="s">
        <v>158</v>
      </c>
      <c r="E56" s="120" t="s">
        <v>615</v>
      </c>
      <c r="F56" s="82">
        <v>242</v>
      </c>
      <c r="G56" s="81">
        <v>777.6</v>
      </c>
      <c r="H56" s="81">
        <v>0</v>
      </c>
    </row>
    <row r="57" spans="1:8" ht="31.5">
      <c r="A57" s="123" t="s">
        <v>209</v>
      </c>
      <c r="B57" s="70">
        <v>931</v>
      </c>
      <c r="C57" s="68" t="s">
        <v>152</v>
      </c>
      <c r="D57" s="68" t="s">
        <v>158</v>
      </c>
      <c r="E57" s="120" t="s">
        <v>615</v>
      </c>
      <c r="F57" s="82">
        <v>244</v>
      </c>
      <c r="G57" s="81">
        <v>150</v>
      </c>
      <c r="H57" s="81">
        <v>0</v>
      </c>
    </row>
    <row r="58" spans="1:8" ht="31.5">
      <c r="A58" s="52" t="s">
        <v>108</v>
      </c>
      <c r="B58" s="74">
        <v>931</v>
      </c>
      <c r="C58" s="75" t="s">
        <v>165</v>
      </c>
      <c r="D58" s="75"/>
      <c r="E58" s="75"/>
      <c r="F58" s="65"/>
      <c r="G58" s="76">
        <f>G59+G68</f>
        <v>45391</v>
      </c>
      <c r="H58" s="76">
        <f>H59+H68+H72</f>
        <v>45395.100000000006</v>
      </c>
    </row>
    <row r="59" spans="1:8" ht="31.5">
      <c r="A59" s="51" t="s">
        <v>407</v>
      </c>
      <c r="B59" s="77">
        <v>931</v>
      </c>
      <c r="C59" s="78" t="s">
        <v>165</v>
      </c>
      <c r="D59" s="78" t="s">
        <v>152</v>
      </c>
      <c r="E59" s="78"/>
      <c r="F59" s="65"/>
      <c r="G59" s="76">
        <f>G60</f>
        <v>104.2</v>
      </c>
      <c r="H59" s="76">
        <f>H60+H64</f>
        <v>108.3</v>
      </c>
    </row>
    <row r="60" spans="1:8" s="63" customFormat="1" ht="31.5">
      <c r="A60" s="142" t="s">
        <v>947</v>
      </c>
      <c r="B60" s="151">
        <v>931</v>
      </c>
      <c r="C60" s="152" t="s">
        <v>165</v>
      </c>
      <c r="D60" s="152" t="s">
        <v>152</v>
      </c>
      <c r="E60" s="515" t="s">
        <v>612</v>
      </c>
      <c r="F60" s="515"/>
      <c r="G60" s="377">
        <f>G61</f>
        <v>104.2</v>
      </c>
      <c r="H60" s="377">
        <f>H61</f>
        <v>0</v>
      </c>
    </row>
    <row r="61" spans="1:8" s="63" customFormat="1" ht="31.5">
      <c r="A61" s="186" t="s">
        <v>639</v>
      </c>
      <c r="B61" s="276">
        <v>931</v>
      </c>
      <c r="C61" s="172" t="s">
        <v>165</v>
      </c>
      <c r="D61" s="172" t="s">
        <v>152</v>
      </c>
      <c r="E61" s="172" t="s">
        <v>618</v>
      </c>
      <c r="F61" s="68"/>
      <c r="G61" s="81">
        <f t="shared" ref="G61:H62" si="1">G62</f>
        <v>104.2</v>
      </c>
      <c r="H61" s="81">
        <f t="shared" si="1"/>
        <v>0</v>
      </c>
    </row>
    <row r="62" spans="1:8" ht="31.5">
      <c r="A62" s="186" t="s">
        <v>309</v>
      </c>
      <c r="B62" s="276">
        <v>931</v>
      </c>
      <c r="C62" s="172" t="s">
        <v>165</v>
      </c>
      <c r="D62" s="172" t="s">
        <v>152</v>
      </c>
      <c r="E62" s="172" t="s">
        <v>617</v>
      </c>
      <c r="F62" s="68"/>
      <c r="G62" s="81">
        <f t="shared" si="1"/>
        <v>104.2</v>
      </c>
      <c r="H62" s="81">
        <f t="shared" si="1"/>
        <v>0</v>
      </c>
    </row>
    <row r="63" spans="1:8" ht="31.5">
      <c r="A63" s="203" t="s">
        <v>406</v>
      </c>
      <c r="B63" s="70">
        <v>931</v>
      </c>
      <c r="C63" s="68" t="s">
        <v>165</v>
      </c>
      <c r="D63" s="68" t="s">
        <v>152</v>
      </c>
      <c r="E63" s="172" t="s">
        <v>617</v>
      </c>
      <c r="F63" s="68" t="s">
        <v>26</v>
      </c>
      <c r="G63" s="81">
        <v>104.2</v>
      </c>
      <c r="H63" s="81">
        <v>0</v>
      </c>
    </row>
    <row r="64" spans="1:8">
      <c r="A64" s="203" t="s">
        <v>83</v>
      </c>
      <c r="B64" s="70">
        <v>931</v>
      </c>
      <c r="C64" s="68" t="s">
        <v>165</v>
      </c>
      <c r="D64" s="68" t="s">
        <v>152</v>
      </c>
      <c r="E64" s="172" t="s">
        <v>1160</v>
      </c>
      <c r="F64" s="68"/>
      <c r="G64" s="81">
        <v>0</v>
      </c>
      <c r="H64" s="81">
        <f>H65</f>
        <v>108.3</v>
      </c>
    </row>
    <row r="65" spans="1:8" ht="31.5">
      <c r="A65" s="186" t="s">
        <v>309</v>
      </c>
      <c r="B65" s="70">
        <v>931</v>
      </c>
      <c r="C65" s="68" t="s">
        <v>165</v>
      </c>
      <c r="D65" s="68" t="s">
        <v>152</v>
      </c>
      <c r="E65" s="172" t="s">
        <v>1161</v>
      </c>
      <c r="F65" s="68"/>
      <c r="G65" s="81">
        <v>0</v>
      </c>
      <c r="H65" s="81">
        <f>H66</f>
        <v>108.3</v>
      </c>
    </row>
    <row r="66" spans="1:8" ht="31.5">
      <c r="A66" s="203" t="s">
        <v>406</v>
      </c>
      <c r="B66" s="70">
        <v>931</v>
      </c>
      <c r="C66" s="68" t="s">
        <v>165</v>
      </c>
      <c r="D66" s="68" t="s">
        <v>152</v>
      </c>
      <c r="E66" s="172" t="s">
        <v>1161</v>
      </c>
      <c r="F66" s="68"/>
      <c r="G66" s="81">
        <v>0</v>
      </c>
      <c r="H66" s="81">
        <v>108.3</v>
      </c>
    </row>
    <row r="67" spans="1:8">
      <c r="A67" s="51" t="s">
        <v>46</v>
      </c>
      <c r="B67" s="70">
        <v>931</v>
      </c>
      <c r="C67" s="75" t="s">
        <v>165</v>
      </c>
      <c r="D67" s="75" t="s">
        <v>155</v>
      </c>
      <c r="E67" s="301"/>
      <c r="F67" s="75"/>
      <c r="G67" s="76">
        <f>G68</f>
        <v>45286.8</v>
      </c>
      <c r="H67" s="76">
        <f>H68+H72</f>
        <v>45286.8</v>
      </c>
    </row>
    <row r="68" spans="1:8" ht="31.5">
      <c r="A68" s="516" t="s">
        <v>947</v>
      </c>
      <c r="B68" s="151">
        <v>931</v>
      </c>
      <c r="C68" s="152" t="s">
        <v>165</v>
      </c>
      <c r="D68" s="152" t="s">
        <v>155</v>
      </c>
      <c r="E68" s="515" t="s">
        <v>612</v>
      </c>
      <c r="F68" s="152"/>
      <c r="G68" s="377">
        <f>G69</f>
        <v>45286.8</v>
      </c>
      <c r="H68" s="377">
        <v>0</v>
      </c>
    </row>
    <row r="69" spans="1:8" s="63" customFormat="1" ht="31.5">
      <c r="A69" s="186" t="s">
        <v>639</v>
      </c>
      <c r="B69" s="276">
        <v>931</v>
      </c>
      <c r="C69" s="172" t="s">
        <v>165</v>
      </c>
      <c r="D69" s="172" t="s">
        <v>155</v>
      </c>
      <c r="E69" s="172" t="s">
        <v>616</v>
      </c>
      <c r="F69" s="172"/>
      <c r="G69" s="81">
        <f t="shared" ref="G69:H70" si="2">G70</f>
        <v>45286.8</v>
      </c>
      <c r="H69" s="81">
        <f t="shared" si="2"/>
        <v>0</v>
      </c>
    </row>
    <row r="70" spans="1:8" ht="37.5" customHeight="1">
      <c r="A70" s="186" t="s">
        <v>613</v>
      </c>
      <c r="B70" s="276">
        <v>931</v>
      </c>
      <c r="C70" s="172" t="s">
        <v>165</v>
      </c>
      <c r="D70" s="172" t="s">
        <v>155</v>
      </c>
      <c r="E70" s="172" t="s">
        <v>616</v>
      </c>
      <c r="F70" s="168"/>
      <c r="G70" s="81">
        <f t="shared" si="2"/>
        <v>45286.8</v>
      </c>
      <c r="H70" s="81">
        <f t="shared" si="2"/>
        <v>0</v>
      </c>
    </row>
    <row r="71" spans="1:8" ht="14.25" customHeight="1">
      <c r="A71" s="48" t="s">
        <v>310</v>
      </c>
      <c r="B71" s="70">
        <v>931</v>
      </c>
      <c r="C71" s="68" t="s">
        <v>165</v>
      </c>
      <c r="D71" s="68" t="s">
        <v>155</v>
      </c>
      <c r="E71" s="172" t="s">
        <v>616</v>
      </c>
      <c r="F71" s="68" t="s">
        <v>321</v>
      </c>
      <c r="G71" s="81">
        <v>45286.8</v>
      </c>
      <c r="H71" s="81">
        <v>0</v>
      </c>
    </row>
    <row r="72" spans="1:8" ht="23.25" customHeight="1">
      <c r="A72" s="48" t="s">
        <v>83</v>
      </c>
      <c r="B72" s="70">
        <v>931</v>
      </c>
      <c r="C72" s="68" t="s">
        <v>165</v>
      </c>
      <c r="D72" s="68" t="s">
        <v>155</v>
      </c>
      <c r="E72" s="172"/>
      <c r="F72" s="68"/>
      <c r="G72" s="81">
        <v>0</v>
      </c>
      <c r="H72" s="81">
        <f>H73</f>
        <v>45286.8</v>
      </c>
    </row>
    <row r="73" spans="1:8" ht="18" customHeight="1">
      <c r="A73" s="48" t="s">
        <v>1163</v>
      </c>
      <c r="B73" s="70">
        <v>931</v>
      </c>
      <c r="C73" s="68" t="s">
        <v>165</v>
      </c>
      <c r="D73" s="68" t="s">
        <v>155</v>
      </c>
      <c r="E73" s="172" t="s">
        <v>1162</v>
      </c>
      <c r="F73" s="68"/>
      <c r="G73" s="81">
        <v>0</v>
      </c>
      <c r="H73" s="81">
        <f>H74</f>
        <v>45286.8</v>
      </c>
    </row>
    <row r="74" spans="1:8" ht="22.5" customHeight="1">
      <c r="A74" s="48" t="s">
        <v>310</v>
      </c>
      <c r="B74" s="70">
        <v>931</v>
      </c>
      <c r="C74" s="68" t="s">
        <v>165</v>
      </c>
      <c r="D74" s="68" t="s">
        <v>155</v>
      </c>
      <c r="E74" s="172" t="s">
        <v>1162</v>
      </c>
      <c r="F74" s="68" t="s">
        <v>321</v>
      </c>
      <c r="G74" s="81">
        <v>0</v>
      </c>
      <c r="H74" s="81">
        <v>45286.8</v>
      </c>
    </row>
    <row r="75" spans="1:8" s="62" customFormat="1">
      <c r="A75" s="95" t="s">
        <v>138</v>
      </c>
      <c r="B75" s="71">
        <v>934</v>
      </c>
      <c r="C75" s="72"/>
      <c r="D75" s="72"/>
      <c r="E75" s="72"/>
      <c r="F75" s="72"/>
      <c r="G75" s="73">
        <f>G76+G129+G136+G173+G192+G211+G250+G283+G289+G206</f>
        <v>240873.18484999999</v>
      </c>
      <c r="H75" s="73">
        <f>H76+H129+H136+H173+H192+H211+H250+H283+H289+H206</f>
        <v>231454.34185</v>
      </c>
    </row>
    <row r="76" spans="1:8" s="64" customFormat="1">
      <c r="A76" s="52" t="s">
        <v>166</v>
      </c>
      <c r="B76" s="74">
        <v>934</v>
      </c>
      <c r="C76" s="75" t="s">
        <v>152</v>
      </c>
      <c r="D76" s="75"/>
      <c r="E76" s="75"/>
      <c r="F76" s="75"/>
      <c r="G76" s="76">
        <f>G77+G84+G98+G102+G105</f>
        <v>82853.153720000002</v>
      </c>
      <c r="H76" s="76">
        <f>H77+H84+H98+H102+H105</f>
        <v>80937.912720000008</v>
      </c>
    </row>
    <row r="77" spans="1:8" s="63" customFormat="1" ht="31.5">
      <c r="A77" s="51" t="s">
        <v>296</v>
      </c>
      <c r="B77" s="77">
        <v>934</v>
      </c>
      <c r="C77" s="78" t="s">
        <v>152</v>
      </c>
      <c r="D77" s="78" t="s">
        <v>153</v>
      </c>
      <c r="E77" s="78"/>
      <c r="F77" s="78"/>
      <c r="G77" s="79">
        <f t="shared" ref="G77:H79" si="3">G78</f>
        <v>1860.1625800000002</v>
      </c>
      <c r="H77" s="79">
        <f t="shared" si="3"/>
        <v>1860.1625800000002</v>
      </c>
    </row>
    <row r="78" spans="1:8">
      <c r="A78" s="682" t="s">
        <v>83</v>
      </c>
      <c r="B78" s="160">
        <v>934</v>
      </c>
      <c r="C78" s="153" t="s">
        <v>152</v>
      </c>
      <c r="D78" s="153" t="s">
        <v>153</v>
      </c>
      <c r="E78" s="153" t="s">
        <v>0</v>
      </c>
      <c r="F78" s="153"/>
      <c r="G78" s="162">
        <f t="shared" si="3"/>
        <v>1860.1625800000002</v>
      </c>
      <c r="H78" s="162">
        <f t="shared" si="3"/>
        <v>1860.1625800000002</v>
      </c>
    </row>
    <row r="79" spans="1:8" ht="31.5">
      <c r="A79" s="48" t="s">
        <v>323</v>
      </c>
      <c r="B79" s="70">
        <v>934</v>
      </c>
      <c r="C79" s="68" t="s">
        <v>152</v>
      </c>
      <c r="D79" s="68" t="s">
        <v>153</v>
      </c>
      <c r="E79" s="68" t="s">
        <v>382</v>
      </c>
      <c r="F79" s="68"/>
      <c r="G79" s="81">
        <f t="shared" si="3"/>
        <v>1860.1625800000002</v>
      </c>
      <c r="H79" s="81">
        <f t="shared" si="3"/>
        <v>1860.1625800000002</v>
      </c>
    </row>
    <row r="80" spans="1:8" ht="31.5">
      <c r="A80" s="97" t="s">
        <v>952</v>
      </c>
      <c r="B80" s="70">
        <v>934</v>
      </c>
      <c r="C80" s="68" t="s">
        <v>152</v>
      </c>
      <c r="D80" s="68" t="s">
        <v>153</v>
      </c>
      <c r="E80" s="68" t="s">
        <v>953</v>
      </c>
      <c r="F80" s="68"/>
      <c r="G80" s="81">
        <f>G81+G82+G83</f>
        <v>1860.1625800000002</v>
      </c>
      <c r="H80" s="81">
        <f>H81+H82+H83</f>
        <v>1860.1625800000002</v>
      </c>
    </row>
    <row r="81" spans="1:8">
      <c r="A81" s="48" t="s">
        <v>324</v>
      </c>
      <c r="B81" s="70">
        <v>934</v>
      </c>
      <c r="C81" s="68" t="s">
        <v>152</v>
      </c>
      <c r="D81" s="68" t="s">
        <v>153</v>
      </c>
      <c r="E81" s="68" t="s">
        <v>953</v>
      </c>
      <c r="F81" s="68" t="s">
        <v>311</v>
      </c>
      <c r="G81" s="81">
        <v>1390.29384</v>
      </c>
      <c r="H81" s="81">
        <v>1390.29384</v>
      </c>
    </row>
    <row r="82" spans="1:8" ht="31.5">
      <c r="A82" s="48" t="s">
        <v>6</v>
      </c>
      <c r="B82" s="70">
        <v>934</v>
      </c>
      <c r="C82" s="68" t="s">
        <v>152</v>
      </c>
      <c r="D82" s="68" t="s">
        <v>153</v>
      </c>
      <c r="E82" s="68" t="s">
        <v>953</v>
      </c>
      <c r="F82" s="68" t="s">
        <v>316</v>
      </c>
      <c r="G82" s="81">
        <v>50</v>
      </c>
      <c r="H82" s="81">
        <v>50</v>
      </c>
    </row>
    <row r="83" spans="1:8" ht="47.25">
      <c r="A83" s="164" t="s">
        <v>325</v>
      </c>
      <c r="B83" s="70">
        <v>934</v>
      </c>
      <c r="C83" s="68" t="s">
        <v>152</v>
      </c>
      <c r="D83" s="68" t="s">
        <v>153</v>
      </c>
      <c r="E83" s="68" t="s">
        <v>953</v>
      </c>
      <c r="F83" s="68" t="s">
        <v>326</v>
      </c>
      <c r="G83" s="81">
        <v>419.86874</v>
      </c>
      <c r="H83" s="81">
        <v>419.86874</v>
      </c>
    </row>
    <row r="84" spans="1:8" s="63" customFormat="1" ht="47.25">
      <c r="A84" s="51" t="s">
        <v>208</v>
      </c>
      <c r="B84" s="77">
        <v>934</v>
      </c>
      <c r="C84" s="78" t="s">
        <v>152</v>
      </c>
      <c r="D84" s="78" t="s">
        <v>161</v>
      </c>
      <c r="E84" s="78"/>
      <c r="F84" s="78"/>
      <c r="G84" s="79">
        <f>G85+G94</f>
        <v>23552.491140000002</v>
      </c>
      <c r="H84" s="79">
        <f>H85+H94</f>
        <v>21639.850140000002</v>
      </c>
    </row>
    <row r="85" spans="1:8" s="64" customFormat="1">
      <c r="A85" s="342" t="s">
        <v>83</v>
      </c>
      <c r="B85" s="160">
        <v>934</v>
      </c>
      <c r="C85" s="153" t="s">
        <v>152</v>
      </c>
      <c r="D85" s="153" t="s">
        <v>161</v>
      </c>
      <c r="E85" s="153" t="s">
        <v>0</v>
      </c>
      <c r="F85" s="625"/>
      <c r="G85" s="162">
        <f>G86+G93</f>
        <v>23257.004140000001</v>
      </c>
      <c r="H85" s="162">
        <f>H86+H93</f>
        <v>21344.363140000001</v>
      </c>
    </row>
    <row r="86" spans="1:8" s="64" customFormat="1" ht="31.5">
      <c r="A86" s="49" t="s">
        <v>323</v>
      </c>
      <c r="B86" s="69">
        <v>934</v>
      </c>
      <c r="C86" s="67" t="s">
        <v>152</v>
      </c>
      <c r="D86" s="67" t="s">
        <v>161</v>
      </c>
      <c r="E86" s="67" t="s">
        <v>382</v>
      </c>
      <c r="F86" s="67"/>
      <c r="G86" s="81">
        <f>G87</f>
        <v>21344.363140000001</v>
      </c>
      <c r="H86" s="81">
        <f>H87</f>
        <v>21344.363140000001</v>
      </c>
    </row>
    <row r="87" spans="1:8" s="64" customFormat="1">
      <c r="A87" s="46" t="s">
        <v>298</v>
      </c>
      <c r="B87" s="69">
        <v>934</v>
      </c>
      <c r="C87" s="67" t="s">
        <v>152</v>
      </c>
      <c r="D87" s="67" t="s">
        <v>161</v>
      </c>
      <c r="E87" s="67" t="s">
        <v>383</v>
      </c>
      <c r="F87" s="67"/>
      <c r="G87" s="81">
        <f>G88+G89+G90+G91+G92</f>
        <v>21344.363140000001</v>
      </c>
      <c r="H87" s="81">
        <f>H88+H89+H90+H91+H92</f>
        <v>21344.363140000001</v>
      </c>
    </row>
    <row r="88" spans="1:8" s="64" customFormat="1">
      <c r="A88" s="48" t="s">
        <v>324</v>
      </c>
      <c r="B88" s="70">
        <v>934</v>
      </c>
      <c r="C88" s="68" t="s">
        <v>152</v>
      </c>
      <c r="D88" s="68" t="s">
        <v>161</v>
      </c>
      <c r="E88" s="68" t="s">
        <v>383</v>
      </c>
      <c r="F88" s="68" t="s">
        <v>311</v>
      </c>
      <c r="G88" s="81">
        <v>16095.6</v>
      </c>
      <c r="H88" s="81">
        <v>16095.6</v>
      </c>
    </row>
    <row r="89" spans="1:8" s="64" customFormat="1" ht="31.5">
      <c r="A89" s="48" t="s">
        <v>6</v>
      </c>
      <c r="B89" s="70">
        <v>934</v>
      </c>
      <c r="C89" s="68" t="s">
        <v>152</v>
      </c>
      <c r="D89" s="68" t="s">
        <v>161</v>
      </c>
      <c r="E89" s="68" t="s">
        <v>383</v>
      </c>
      <c r="F89" s="68" t="s">
        <v>316</v>
      </c>
      <c r="G89" s="81">
        <v>40</v>
      </c>
      <c r="H89" s="81">
        <v>40</v>
      </c>
    </row>
    <row r="90" spans="1:8" s="64" customFormat="1" ht="47.25">
      <c r="A90" s="164" t="s">
        <v>325</v>
      </c>
      <c r="B90" s="70">
        <v>934</v>
      </c>
      <c r="C90" s="68" t="s">
        <v>152</v>
      </c>
      <c r="D90" s="68" t="s">
        <v>161</v>
      </c>
      <c r="E90" s="68" t="s">
        <v>383</v>
      </c>
      <c r="F90" s="68" t="s">
        <v>326</v>
      </c>
      <c r="G90" s="81">
        <v>4860.8999999999996</v>
      </c>
      <c r="H90" s="81">
        <v>4860.8999999999996</v>
      </c>
    </row>
    <row r="91" spans="1:8" s="64" customFormat="1" ht="31.5">
      <c r="A91" s="97" t="s">
        <v>317</v>
      </c>
      <c r="B91" s="70">
        <v>934</v>
      </c>
      <c r="C91" s="68" t="s">
        <v>152</v>
      </c>
      <c r="D91" s="68" t="s">
        <v>161</v>
      </c>
      <c r="E91" s="68" t="s">
        <v>383</v>
      </c>
      <c r="F91" s="68" t="s">
        <v>318</v>
      </c>
      <c r="G91" s="81">
        <v>47.863140000000001</v>
      </c>
      <c r="H91" s="81">
        <v>47.863140000000001</v>
      </c>
    </row>
    <row r="92" spans="1:8" s="64" customFormat="1" ht="31.5">
      <c r="A92" s="123" t="s">
        <v>209</v>
      </c>
      <c r="B92" s="70">
        <v>934</v>
      </c>
      <c r="C92" s="68" t="s">
        <v>152</v>
      </c>
      <c r="D92" s="68" t="s">
        <v>161</v>
      </c>
      <c r="E92" s="68" t="s">
        <v>383</v>
      </c>
      <c r="F92" s="68" t="s">
        <v>312</v>
      </c>
      <c r="G92" s="81">
        <v>300</v>
      </c>
      <c r="H92" s="81">
        <v>300</v>
      </c>
    </row>
    <row r="93" spans="1:8" s="64" customFormat="1">
      <c r="A93" s="48" t="s">
        <v>314</v>
      </c>
      <c r="B93" s="70">
        <v>934</v>
      </c>
      <c r="C93" s="68" t="s">
        <v>152</v>
      </c>
      <c r="D93" s="68" t="s">
        <v>161</v>
      </c>
      <c r="E93" s="68" t="s">
        <v>1129</v>
      </c>
      <c r="F93" s="68" t="s">
        <v>816</v>
      </c>
      <c r="G93" s="81">
        <v>1912.6410000000001</v>
      </c>
      <c r="H93" s="81">
        <v>0</v>
      </c>
    </row>
    <row r="94" spans="1:8" s="64" customFormat="1" ht="47.25">
      <c r="A94" s="142" t="s">
        <v>1104</v>
      </c>
      <c r="B94" s="143">
        <v>934</v>
      </c>
      <c r="C94" s="144" t="s">
        <v>152</v>
      </c>
      <c r="D94" s="144" t="s">
        <v>161</v>
      </c>
      <c r="E94" s="144" t="s">
        <v>398</v>
      </c>
      <c r="F94" s="144"/>
      <c r="G94" s="146">
        <f>G95</f>
        <v>295.48699999999997</v>
      </c>
      <c r="H94" s="146">
        <f>H95</f>
        <v>295.48699999999997</v>
      </c>
    </row>
    <row r="95" spans="1:8" s="64" customFormat="1" ht="31.5">
      <c r="A95" s="157" t="s">
        <v>1165</v>
      </c>
      <c r="B95" s="158">
        <v>934</v>
      </c>
      <c r="C95" s="155" t="s">
        <v>152</v>
      </c>
      <c r="D95" s="155" t="s">
        <v>161</v>
      </c>
      <c r="E95" s="541" t="s">
        <v>818</v>
      </c>
      <c r="F95" s="149"/>
      <c r="G95" s="150">
        <f>G96+G97</f>
        <v>295.48699999999997</v>
      </c>
      <c r="H95" s="150">
        <f>H96+H97</f>
        <v>295.48699999999997</v>
      </c>
    </row>
    <row r="96" spans="1:8" s="64" customFormat="1" ht="31.5">
      <c r="A96" s="123" t="s">
        <v>209</v>
      </c>
      <c r="B96" s="70">
        <v>934</v>
      </c>
      <c r="C96" s="68" t="s">
        <v>152</v>
      </c>
      <c r="D96" s="68" t="s">
        <v>161</v>
      </c>
      <c r="E96" s="68" t="s">
        <v>385</v>
      </c>
      <c r="F96" s="82">
        <v>244</v>
      </c>
      <c r="G96" s="81">
        <v>200</v>
      </c>
      <c r="H96" s="81">
        <v>200</v>
      </c>
    </row>
    <row r="97" spans="1:8" s="64" customFormat="1">
      <c r="A97" s="48" t="s">
        <v>1036</v>
      </c>
      <c r="B97" s="70">
        <v>934</v>
      </c>
      <c r="C97" s="68" t="s">
        <v>152</v>
      </c>
      <c r="D97" s="68" t="s">
        <v>161</v>
      </c>
      <c r="E97" s="68" t="s">
        <v>385</v>
      </c>
      <c r="F97" s="82">
        <v>853</v>
      </c>
      <c r="G97" s="81">
        <v>95.486999999999995</v>
      </c>
      <c r="H97" s="81">
        <v>95.486999999999995</v>
      </c>
    </row>
    <row r="98" spans="1:8" s="127" customFormat="1">
      <c r="A98" s="52" t="s">
        <v>102</v>
      </c>
      <c r="B98" s="74">
        <v>934</v>
      </c>
      <c r="C98" s="75" t="s">
        <v>152</v>
      </c>
      <c r="D98" s="75" t="s">
        <v>162</v>
      </c>
      <c r="E98" s="271"/>
      <c r="F98" s="398"/>
      <c r="G98" s="94">
        <f t="shared" ref="G98:H100" si="4">G99</f>
        <v>2.6</v>
      </c>
      <c r="H98" s="94">
        <f t="shared" si="4"/>
        <v>0</v>
      </c>
    </row>
    <row r="99" spans="1:8">
      <c r="A99" s="342" t="s">
        <v>83</v>
      </c>
      <c r="B99" s="160">
        <v>934</v>
      </c>
      <c r="C99" s="153" t="s">
        <v>152</v>
      </c>
      <c r="D99" s="153" t="s">
        <v>162</v>
      </c>
      <c r="E99" s="153" t="s">
        <v>0</v>
      </c>
      <c r="F99" s="625"/>
      <c r="G99" s="162">
        <f t="shared" si="4"/>
        <v>2.6</v>
      </c>
      <c r="H99" s="162">
        <f t="shared" si="4"/>
        <v>0</v>
      </c>
    </row>
    <row r="100" spans="1:8" ht="47.25">
      <c r="A100" s="48" t="s">
        <v>449</v>
      </c>
      <c r="B100" s="70">
        <v>934</v>
      </c>
      <c r="C100" s="68" t="s">
        <v>152</v>
      </c>
      <c r="D100" s="68" t="s">
        <v>162</v>
      </c>
      <c r="E100" s="120" t="s">
        <v>982</v>
      </c>
      <c r="F100" s="349"/>
      <c r="G100" s="119">
        <f t="shared" si="4"/>
        <v>2.6</v>
      </c>
      <c r="H100" s="81">
        <f t="shared" si="4"/>
        <v>0</v>
      </c>
    </row>
    <row r="101" spans="1:8" ht="31.5">
      <c r="A101" s="123" t="s">
        <v>209</v>
      </c>
      <c r="B101" s="70">
        <v>934</v>
      </c>
      <c r="C101" s="68" t="s">
        <v>152</v>
      </c>
      <c r="D101" s="68" t="s">
        <v>162</v>
      </c>
      <c r="E101" s="120" t="s">
        <v>982</v>
      </c>
      <c r="F101" s="349">
        <v>244</v>
      </c>
      <c r="G101" s="119">
        <v>2.6</v>
      </c>
      <c r="H101" s="81">
        <v>0</v>
      </c>
    </row>
    <row r="102" spans="1:8" s="63" customFormat="1">
      <c r="A102" s="51" t="s">
        <v>170</v>
      </c>
      <c r="B102" s="77">
        <v>934</v>
      </c>
      <c r="C102" s="78" t="s">
        <v>152</v>
      </c>
      <c r="D102" s="78" t="s">
        <v>160</v>
      </c>
      <c r="E102" s="75"/>
      <c r="F102" s="78"/>
      <c r="G102" s="79">
        <f t="shared" ref="G102:H103" si="5">G103</f>
        <v>500</v>
      </c>
      <c r="H102" s="79">
        <f t="shared" si="5"/>
        <v>500</v>
      </c>
    </row>
    <row r="103" spans="1:8" s="63" customFormat="1">
      <c r="A103" s="49" t="s">
        <v>139</v>
      </c>
      <c r="B103" s="69">
        <v>934</v>
      </c>
      <c r="C103" s="67" t="s">
        <v>152</v>
      </c>
      <c r="D103" s="67" t="s">
        <v>160</v>
      </c>
      <c r="E103" s="68" t="s">
        <v>386</v>
      </c>
      <c r="F103" s="67"/>
      <c r="G103" s="80">
        <f t="shared" si="5"/>
        <v>500</v>
      </c>
      <c r="H103" s="80">
        <f t="shared" si="5"/>
        <v>500</v>
      </c>
    </row>
    <row r="104" spans="1:8">
      <c r="A104" s="48" t="s">
        <v>18</v>
      </c>
      <c r="B104" s="70">
        <v>934</v>
      </c>
      <c r="C104" s="68" t="s">
        <v>152</v>
      </c>
      <c r="D104" s="68" t="s">
        <v>160</v>
      </c>
      <c r="E104" s="68" t="s">
        <v>386</v>
      </c>
      <c r="F104" s="68" t="s">
        <v>315</v>
      </c>
      <c r="G104" s="81">
        <v>500</v>
      </c>
      <c r="H104" s="81">
        <v>500</v>
      </c>
    </row>
    <row r="105" spans="1:8" s="64" customFormat="1" ht="15" customHeight="1">
      <c r="A105" s="51" t="s">
        <v>167</v>
      </c>
      <c r="B105" s="77">
        <v>934</v>
      </c>
      <c r="C105" s="78" t="s">
        <v>152</v>
      </c>
      <c r="D105" s="78" t="s">
        <v>178</v>
      </c>
      <c r="E105" s="75"/>
      <c r="F105" s="78"/>
      <c r="G105" s="79">
        <f>G106+G112+G114+G116+G120+G125</f>
        <v>56937.9</v>
      </c>
      <c r="H105" s="79">
        <f>H106+H112+H114+H116+H120+H125</f>
        <v>56937.9</v>
      </c>
    </row>
    <row r="106" spans="1:8" s="64" customFormat="1" ht="47.25" customHeight="1">
      <c r="A106" s="95" t="s">
        <v>1104</v>
      </c>
      <c r="B106" s="67" t="s">
        <v>140</v>
      </c>
      <c r="C106" s="67" t="s">
        <v>152</v>
      </c>
      <c r="D106" s="67" t="s">
        <v>178</v>
      </c>
      <c r="E106" s="75"/>
      <c r="F106" s="78"/>
      <c r="G106" s="79">
        <f>G107</f>
        <v>316</v>
      </c>
      <c r="H106" s="79">
        <f>H107</f>
        <v>316</v>
      </c>
    </row>
    <row r="107" spans="1:8" s="64" customFormat="1" ht="50.25" customHeight="1">
      <c r="A107" s="770" t="s">
        <v>1168</v>
      </c>
      <c r="B107" s="67" t="s">
        <v>140</v>
      </c>
      <c r="C107" s="67" t="s">
        <v>152</v>
      </c>
      <c r="D107" s="67" t="s">
        <v>178</v>
      </c>
      <c r="E107" s="75"/>
      <c r="F107" s="78"/>
      <c r="G107" s="79">
        <f>G108+G110</f>
        <v>316</v>
      </c>
      <c r="H107" s="79">
        <f>H108+H110</f>
        <v>316</v>
      </c>
    </row>
    <row r="108" spans="1:8" ht="47.25">
      <c r="A108" s="347" t="s">
        <v>573</v>
      </c>
      <c r="B108" s="67" t="s">
        <v>140</v>
      </c>
      <c r="C108" s="67" t="s">
        <v>152</v>
      </c>
      <c r="D108" s="67" t="s">
        <v>178</v>
      </c>
      <c r="E108" s="68" t="s">
        <v>1170</v>
      </c>
      <c r="F108" s="129"/>
      <c r="G108" s="93">
        <f>G109</f>
        <v>158</v>
      </c>
      <c r="H108" s="93">
        <f>H109</f>
        <v>158</v>
      </c>
    </row>
    <row r="109" spans="1:8" ht="31.5">
      <c r="A109" s="123" t="s">
        <v>209</v>
      </c>
      <c r="B109" s="68" t="s">
        <v>140</v>
      </c>
      <c r="C109" s="68" t="s">
        <v>152</v>
      </c>
      <c r="D109" s="68" t="s">
        <v>178</v>
      </c>
      <c r="E109" s="68" t="s">
        <v>1170</v>
      </c>
      <c r="F109" s="68" t="s">
        <v>312</v>
      </c>
      <c r="G109" s="81">
        <v>158</v>
      </c>
      <c r="H109" s="81">
        <v>158</v>
      </c>
    </row>
    <row r="110" spans="1:8" ht="47.25">
      <c r="A110" s="347" t="s">
        <v>495</v>
      </c>
      <c r="B110" s="129" t="s">
        <v>140</v>
      </c>
      <c r="C110" s="129" t="s">
        <v>152</v>
      </c>
      <c r="D110" s="129" t="s">
        <v>178</v>
      </c>
      <c r="E110" s="68" t="s">
        <v>1170</v>
      </c>
      <c r="F110" s="129"/>
      <c r="G110" s="93">
        <f>G111</f>
        <v>158</v>
      </c>
      <c r="H110" s="93">
        <f>H111</f>
        <v>158</v>
      </c>
    </row>
    <row r="111" spans="1:8" ht="31.5">
      <c r="A111" s="123" t="s">
        <v>209</v>
      </c>
      <c r="B111" s="68" t="s">
        <v>140</v>
      </c>
      <c r="C111" s="68" t="s">
        <v>152</v>
      </c>
      <c r="D111" s="68" t="s">
        <v>178</v>
      </c>
      <c r="E111" s="68" t="s">
        <v>1170</v>
      </c>
      <c r="F111" s="68" t="s">
        <v>312</v>
      </c>
      <c r="G111" s="81">
        <v>158</v>
      </c>
      <c r="H111" s="81">
        <v>158</v>
      </c>
    </row>
    <row r="112" spans="1:8" ht="34.5" customHeight="1">
      <c r="A112" s="49" t="s">
        <v>954</v>
      </c>
      <c r="B112" s="124">
        <v>934</v>
      </c>
      <c r="C112" s="67" t="s">
        <v>152</v>
      </c>
      <c r="D112" s="67" t="s">
        <v>178</v>
      </c>
      <c r="E112" s="67" t="s">
        <v>955</v>
      </c>
      <c r="F112" s="68"/>
      <c r="G112" s="81">
        <f>G113</f>
        <v>35000</v>
      </c>
      <c r="H112" s="81">
        <f>H113</f>
        <v>35000</v>
      </c>
    </row>
    <row r="113" spans="1:8" ht="30" customHeight="1">
      <c r="A113" s="48" t="s">
        <v>204</v>
      </c>
      <c r="B113" s="124">
        <v>934</v>
      </c>
      <c r="C113" s="67" t="s">
        <v>152</v>
      </c>
      <c r="D113" s="67" t="s">
        <v>178</v>
      </c>
      <c r="E113" s="67" t="s">
        <v>955</v>
      </c>
      <c r="F113" s="68" t="s">
        <v>319</v>
      </c>
      <c r="G113" s="81">
        <v>35000</v>
      </c>
      <c r="H113" s="81">
        <v>35000</v>
      </c>
    </row>
    <row r="114" spans="1:8" ht="30" customHeight="1">
      <c r="A114" s="46" t="s">
        <v>570</v>
      </c>
      <c r="B114" s="124">
        <v>934</v>
      </c>
      <c r="C114" s="67" t="s">
        <v>152</v>
      </c>
      <c r="D114" s="67" t="s">
        <v>178</v>
      </c>
      <c r="E114" s="67" t="s">
        <v>1003</v>
      </c>
      <c r="F114" s="68"/>
      <c r="G114" s="81">
        <f>G115</f>
        <v>20000</v>
      </c>
      <c r="H114" s="81">
        <f>H115</f>
        <v>20000</v>
      </c>
    </row>
    <row r="115" spans="1:8">
      <c r="A115" s="48" t="s">
        <v>205</v>
      </c>
      <c r="B115" s="124">
        <v>934</v>
      </c>
      <c r="C115" s="67" t="s">
        <v>152</v>
      </c>
      <c r="D115" s="67" t="s">
        <v>178</v>
      </c>
      <c r="E115" s="67" t="s">
        <v>1003</v>
      </c>
      <c r="F115" s="68" t="s">
        <v>202</v>
      </c>
      <c r="G115" s="81">
        <v>20000</v>
      </c>
      <c r="H115" s="81">
        <v>20000</v>
      </c>
    </row>
    <row r="116" spans="1:8" ht="30" customHeight="1">
      <c r="A116" s="49" t="s">
        <v>330</v>
      </c>
      <c r="B116" s="67">
        <v>934</v>
      </c>
      <c r="C116" s="67" t="s">
        <v>152</v>
      </c>
      <c r="D116" s="67" t="s">
        <v>178</v>
      </c>
      <c r="E116" s="68" t="s">
        <v>956</v>
      </c>
      <c r="F116" s="67"/>
      <c r="G116" s="81">
        <f>G117+G118+G119</f>
        <v>241.8</v>
      </c>
      <c r="H116" s="81">
        <f>H117+H118+H119</f>
        <v>241.8</v>
      </c>
    </row>
    <row r="117" spans="1:8">
      <c r="A117" s="48" t="s">
        <v>324</v>
      </c>
      <c r="B117" s="68">
        <v>934</v>
      </c>
      <c r="C117" s="68" t="s">
        <v>152</v>
      </c>
      <c r="D117" s="68" t="s">
        <v>178</v>
      </c>
      <c r="E117" s="68" t="s">
        <v>956</v>
      </c>
      <c r="F117" s="68" t="s">
        <v>311</v>
      </c>
      <c r="G117" s="81">
        <v>153.45622</v>
      </c>
      <c r="H117" s="81">
        <v>153.45622</v>
      </c>
    </row>
    <row r="118" spans="1:8" ht="30" customHeight="1">
      <c r="A118" s="164" t="s">
        <v>325</v>
      </c>
      <c r="B118" s="68">
        <v>934</v>
      </c>
      <c r="C118" s="68" t="s">
        <v>152</v>
      </c>
      <c r="D118" s="68" t="s">
        <v>178</v>
      </c>
      <c r="E118" s="68" t="s">
        <v>956</v>
      </c>
      <c r="F118" s="68" t="s">
        <v>326</v>
      </c>
      <c r="G118" s="81">
        <v>46.343780000000002</v>
      </c>
      <c r="H118" s="81">
        <v>46.343780000000002</v>
      </c>
    </row>
    <row r="119" spans="1:8" ht="30" customHeight="1">
      <c r="A119" s="123" t="s">
        <v>209</v>
      </c>
      <c r="B119" s="68">
        <v>934</v>
      </c>
      <c r="C119" s="68" t="s">
        <v>152</v>
      </c>
      <c r="D119" s="68" t="s">
        <v>178</v>
      </c>
      <c r="E119" s="68" t="s">
        <v>956</v>
      </c>
      <c r="F119" s="68" t="s">
        <v>312</v>
      </c>
      <c r="G119" s="81">
        <v>42</v>
      </c>
      <c r="H119" s="81">
        <v>42</v>
      </c>
    </row>
    <row r="120" spans="1:8" ht="47.25">
      <c r="A120" s="49" t="s">
        <v>23</v>
      </c>
      <c r="B120" s="67">
        <v>934</v>
      </c>
      <c r="C120" s="67" t="s">
        <v>152</v>
      </c>
      <c r="D120" s="67" t="s">
        <v>178</v>
      </c>
      <c r="E120" s="68" t="s">
        <v>957</v>
      </c>
      <c r="F120" s="67"/>
      <c r="G120" s="81">
        <f>G121+G122+G123+G124</f>
        <v>1053.5</v>
      </c>
      <c r="H120" s="81">
        <f>H121+H122+H123+H124</f>
        <v>1053.5</v>
      </c>
    </row>
    <row r="121" spans="1:8">
      <c r="A121" s="48" t="s">
        <v>324</v>
      </c>
      <c r="B121" s="68">
        <v>934</v>
      </c>
      <c r="C121" s="68" t="s">
        <v>152</v>
      </c>
      <c r="D121" s="68" t="s">
        <v>178</v>
      </c>
      <c r="E121" s="68" t="s">
        <v>957</v>
      </c>
      <c r="F121" s="68" t="s">
        <v>311</v>
      </c>
      <c r="G121" s="81">
        <f>615.6684+61.52074+60.98291</f>
        <v>738.17205000000001</v>
      </c>
      <c r="H121" s="81">
        <f>615.6684+61.52074+60.98291</f>
        <v>738.17205000000001</v>
      </c>
    </row>
    <row r="122" spans="1:8" ht="30" customHeight="1">
      <c r="A122" s="48" t="s">
        <v>6</v>
      </c>
      <c r="B122" s="68">
        <v>934</v>
      </c>
      <c r="C122" s="68" t="s">
        <v>152</v>
      </c>
      <c r="D122" s="68" t="s">
        <v>178</v>
      </c>
      <c r="E122" s="68" t="s">
        <v>957</v>
      </c>
      <c r="F122" s="68" t="s">
        <v>316</v>
      </c>
      <c r="G122" s="81">
        <v>8.23</v>
      </c>
      <c r="H122" s="81">
        <v>8.23</v>
      </c>
    </row>
    <row r="123" spans="1:8" ht="30" customHeight="1">
      <c r="A123" s="164" t="s">
        <v>325</v>
      </c>
      <c r="B123" s="68">
        <v>934</v>
      </c>
      <c r="C123" s="68" t="s">
        <v>152</v>
      </c>
      <c r="D123" s="68" t="s">
        <v>178</v>
      </c>
      <c r="E123" s="68" t="s">
        <v>957</v>
      </c>
      <c r="F123" s="68" t="s">
        <v>326</v>
      </c>
      <c r="G123" s="81">
        <f>185.9316+18.57926+18.41709</f>
        <v>222.92795000000001</v>
      </c>
      <c r="H123" s="81">
        <f>185.9316+18.57926+18.41709</f>
        <v>222.92795000000001</v>
      </c>
    </row>
    <row r="124" spans="1:8" ht="30" customHeight="1">
      <c r="A124" s="123" t="s">
        <v>209</v>
      </c>
      <c r="B124" s="68">
        <v>934</v>
      </c>
      <c r="C124" s="68" t="s">
        <v>152</v>
      </c>
      <c r="D124" s="68" t="s">
        <v>178</v>
      </c>
      <c r="E124" s="68" t="s">
        <v>957</v>
      </c>
      <c r="F124" s="68" t="s">
        <v>312</v>
      </c>
      <c r="G124" s="81">
        <v>84.17</v>
      </c>
      <c r="H124" s="81">
        <v>84.17</v>
      </c>
    </row>
    <row r="125" spans="1:8" ht="30" customHeight="1">
      <c r="A125" s="128" t="s">
        <v>27</v>
      </c>
      <c r="B125" s="129">
        <v>934</v>
      </c>
      <c r="C125" s="129" t="s">
        <v>152</v>
      </c>
      <c r="D125" s="129" t="s">
        <v>178</v>
      </c>
      <c r="E125" s="129" t="s">
        <v>958</v>
      </c>
      <c r="F125" s="129"/>
      <c r="G125" s="81">
        <f>G126+G127+G128</f>
        <v>326.59999999999997</v>
      </c>
      <c r="H125" s="81">
        <f>H126+H127+H128</f>
        <v>326.59999999999997</v>
      </c>
    </row>
    <row r="126" spans="1:8" ht="30" customHeight="1">
      <c r="A126" s="48" t="s">
        <v>324</v>
      </c>
      <c r="B126" s="68">
        <v>934</v>
      </c>
      <c r="C126" s="68" t="s">
        <v>152</v>
      </c>
      <c r="D126" s="68" t="s">
        <v>178</v>
      </c>
      <c r="E126" s="120" t="s">
        <v>958</v>
      </c>
      <c r="F126" s="68" t="s">
        <v>311</v>
      </c>
      <c r="G126" s="81">
        <f>179.56239+17.97235+17.81856</f>
        <v>215.35329999999999</v>
      </c>
      <c r="H126" s="81">
        <f>179.56239+17.97235+17.81856</f>
        <v>215.35329999999999</v>
      </c>
    </row>
    <row r="127" spans="1:8" ht="30" customHeight="1">
      <c r="A127" s="164" t="s">
        <v>325</v>
      </c>
      <c r="B127" s="68">
        <v>934</v>
      </c>
      <c r="C127" s="68" t="s">
        <v>152</v>
      </c>
      <c r="D127" s="68" t="s">
        <v>178</v>
      </c>
      <c r="E127" s="120" t="s">
        <v>958</v>
      </c>
      <c r="F127" s="68" t="s">
        <v>326</v>
      </c>
      <c r="G127" s="81">
        <f>54.22761+5.42765+5.38144</f>
        <v>65.036699999999996</v>
      </c>
      <c r="H127" s="81">
        <f>54.22761+5.42765+5.38144</f>
        <v>65.036699999999996</v>
      </c>
    </row>
    <row r="128" spans="1:8" ht="30" customHeight="1">
      <c r="A128" s="123" t="s">
        <v>209</v>
      </c>
      <c r="B128" s="68">
        <v>934</v>
      </c>
      <c r="C128" s="68" t="s">
        <v>152</v>
      </c>
      <c r="D128" s="68" t="s">
        <v>178</v>
      </c>
      <c r="E128" s="120" t="s">
        <v>958</v>
      </c>
      <c r="F128" s="68" t="s">
        <v>312</v>
      </c>
      <c r="G128" s="81">
        <v>46.21</v>
      </c>
      <c r="H128" s="81">
        <v>46.21</v>
      </c>
    </row>
    <row r="129" spans="1:8" s="64" customFormat="1">
      <c r="A129" s="52" t="s">
        <v>171</v>
      </c>
      <c r="B129" s="74">
        <v>934</v>
      </c>
      <c r="C129" s="75" t="s">
        <v>155</v>
      </c>
      <c r="D129" s="75"/>
      <c r="E129" s="75"/>
      <c r="F129" s="75"/>
      <c r="G129" s="76">
        <f>G133+G130</f>
        <v>2600</v>
      </c>
      <c r="H129" s="76">
        <f>H133+H130</f>
        <v>300</v>
      </c>
    </row>
    <row r="130" spans="1:8" s="64" customFormat="1" ht="31.5">
      <c r="A130" s="142" t="s">
        <v>1124</v>
      </c>
      <c r="B130" s="143">
        <v>934</v>
      </c>
      <c r="C130" s="144" t="s">
        <v>155</v>
      </c>
      <c r="D130" s="144" t="s">
        <v>156</v>
      </c>
      <c r="E130" s="144" t="s">
        <v>619</v>
      </c>
      <c r="F130" s="144"/>
      <c r="G130" s="146">
        <f t="shared" ref="G130:H131" si="6">G131</f>
        <v>2500</v>
      </c>
      <c r="H130" s="146">
        <f t="shared" si="6"/>
        <v>200</v>
      </c>
    </row>
    <row r="131" spans="1:8" s="64" customFormat="1" ht="31.5">
      <c r="A131" s="142" t="s">
        <v>640</v>
      </c>
      <c r="B131" s="143">
        <v>934</v>
      </c>
      <c r="C131" s="144" t="s">
        <v>155</v>
      </c>
      <c r="D131" s="144" t="s">
        <v>156</v>
      </c>
      <c r="E131" s="144" t="s">
        <v>387</v>
      </c>
      <c r="F131" s="144"/>
      <c r="G131" s="146">
        <f t="shared" si="6"/>
        <v>2500</v>
      </c>
      <c r="H131" s="146">
        <f t="shared" si="6"/>
        <v>200</v>
      </c>
    </row>
    <row r="132" spans="1:8" s="64" customFormat="1" ht="31.5">
      <c r="A132" s="123" t="s">
        <v>209</v>
      </c>
      <c r="B132" s="70">
        <v>934</v>
      </c>
      <c r="C132" s="67" t="s">
        <v>155</v>
      </c>
      <c r="D132" s="67" t="s">
        <v>156</v>
      </c>
      <c r="E132" s="120" t="s">
        <v>387</v>
      </c>
      <c r="F132" s="68" t="s">
        <v>312</v>
      </c>
      <c r="G132" s="81">
        <v>2500</v>
      </c>
      <c r="H132" s="81">
        <v>200</v>
      </c>
    </row>
    <row r="133" spans="1:8" s="63" customFormat="1" ht="31.5">
      <c r="A133" s="51" t="s">
        <v>172</v>
      </c>
      <c r="B133" s="77">
        <v>934</v>
      </c>
      <c r="C133" s="78" t="s">
        <v>155</v>
      </c>
      <c r="D133" s="78" t="s">
        <v>156</v>
      </c>
      <c r="E133" s="75"/>
      <c r="F133" s="78"/>
      <c r="G133" s="79">
        <f t="shared" ref="G133:H134" si="7">G134</f>
        <v>100</v>
      </c>
      <c r="H133" s="79">
        <f t="shared" si="7"/>
        <v>100</v>
      </c>
    </row>
    <row r="134" spans="1:8" ht="31.5">
      <c r="A134" s="348" t="s">
        <v>339</v>
      </c>
      <c r="B134" s="69">
        <v>934</v>
      </c>
      <c r="C134" s="67" t="s">
        <v>155</v>
      </c>
      <c r="D134" s="67" t="s">
        <v>156</v>
      </c>
      <c r="E134" s="67" t="s">
        <v>402</v>
      </c>
      <c r="F134" s="375"/>
      <c r="G134" s="376">
        <f t="shared" si="7"/>
        <v>100</v>
      </c>
      <c r="H134" s="376">
        <f t="shared" si="7"/>
        <v>100</v>
      </c>
    </row>
    <row r="135" spans="1:8" ht="31.5">
      <c r="A135" s="123" t="s">
        <v>209</v>
      </c>
      <c r="B135" s="70">
        <v>934</v>
      </c>
      <c r="C135" s="67" t="s">
        <v>155</v>
      </c>
      <c r="D135" s="67" t="s">
        <v>156</v>
      </c>
      <c r="E135" s="68" t="s">
        <v>402</v>
      </c>
      <c r="F135" s="68" t="s">
        <v>312</v>
      </c>
      <c r="G135" s="81">
        <v>100</v>
      </c>
      <c r="H135" s="81">
        <v>100</v>
      </c>
    </row>
    <row r="136" spans="1:8" s="64" customFormat="1">
      <c r="A136" s="269" t="s">
        <v>322</v>
      </c>
      <c r="B136" s="270">
        <v>934</v>
      </c>
      <c r="C136" s="271" t="s">
        <v>161</v>
      </c>
      <c r="D136" s="271"/>
      <c r="E136" s="271"/>
      <c r="F136" s="271"/>
      <c r="G136" s="94">
        <f>G137+G158</f>
        <v>4007</v>
      </c>
      <c r="H136" s="94">
        <f>H137+H158</f>
        <v>3485.2999999999993</v>
      </c>
    </row>
    <row r="137" spans="1:8" s="63" customFormat="1">
      <c r="A137" s="51" t="s">
        <v>169</v>
      </c>
      <c r="B137" s="78" t="s">
        <v>140</v>
      </c>
      <c r="C137" s="78" t="s">
        <v>161</v>
      </c>
      <c r="D137" s="78" t="s">
        <v>162</v>
      </c>
      <c r="E137" s="75"/>
      <c r="F137" s="78"/>
      <c r="G137" s="79">
        <f>G138+G146</f>
        <v>3453.2</v>
      </c>
      <c r="H137" s="79">
        <f>H138+H146</f>
        <v>2931.4999999999995</v>
      </c>
    </row>
    <row r="138" spans="1:8" s="63" customFormat="1" ht="31.5">
      <c r="A138" s="156" t="s">
        <v>943</v>
      </c>
      <c r="B138" s="143">
        <v>934</v>
      </c>
      <c r="C138" s="144" t="s">
        <v>161</v>
      </c>
      <c r="D138" s="144" t="s">
        <v>162</v>
      </c>
      <c r="E138" s="144" t="s">
        <v>414</v>
      </c>
      <c r="F138" s="143"/>
      <c r="G138" s="146">
        <f>G139</f>
        <v>521.70000000000005</v>
      </c>
      <c r="H138" s="146">
        <f>H139</f>
        <v>0</v>
      </c>
    </row>
    <row r="139" spans="1:8" s="63" customFormat="1" ht="31.5">
      <c r="A139" s="156" t="s">
        <v>641</v>
      </c>
      <c r="B139" s="143">
        <v>934</v>
      </c>
      <c r="C139" s="144" t="s">
        <v>161</v>
      </c>
      <c r="D139" s="144" t="s">
        <v>162</v>
      </c>
      <c r="E139" s="144" t="s">
        <v>620</v>
      </c>
      <c r="F139" s="143"/>
      <c r="G139" s="146">
        <f>G140+G141+G143</f>
        <v>521.70000000000005</v>
      </c>
      <c r="H139" s="146">
        <f>H140+H141+H143</f>
        <v>0</v>
      </c>
    </row>
    <row r="140" spans="1:8" s="63" customFormat="1" ht="31.5">
      <c r="A140" s="123" t="s">
        <v>209</v>
      </c>
      <c r="B140" s="70">
        <v>934</v>
      </c>
      <c r="C140" s="68" t="s">
        <v>161</v>
      </c>
      <c r="D140" s="68" t="s">
        <v>162</v>
      </c>
      <c r="E140" s="120" t="s">
        <v>389</v>
      </c>
      <c r="F140" s="159">
        <v>244</v>
      </c>
      <c r="G140" s="93">
        <v>200</v>
      </c>
      <c r="H140" s="93">
        <v>0</v>
      </c>
    </row>
    <row r="141" spans="1:8" s="63" customFormat="1" ht="31.5">
      <c r="A141" s="49" t="s">
        <v>279</v>
      </c>
      <c r="B141" s="69">
        <v>934</v>
      </c>
      <c r="C141" s="67" t="s">
        <v>161</v>
      </c>
      <c r="D141" s="67" t="s">
        <v>162</v>
      </c>
      <c r="E141" s="67" t="s">
        <v>813</v>
      </c>
      <c r="F141" s="69"/>
      <c r="G141" s="80">
        <f>G142</f>
        <v>320</v>
      </c>
      <c r="H141" s="380">
        <f>H142</f>
        <v>0</v>
      </c>
    </row>
    <row r="142" spans="1:8" s="63" customFormat="1" ht="63">
      <c r="A142" s="48" t="s">
        <v>531</v>
      </c>
      <c r="B142" s="70">
        <v>934</v>
      </c>
      <c r="C142" s="68" t="s">
        <v>161</v>
      </c>
      <c r="D142" s="68" t="s">
        <v>162</v>
      </c>
      <c r="E142" s="67" t="s">
        <v>813</v>
      </c>
      <c r="F142" s="70">
        <v>812</v>
      </c>
      <c r="G142" s="81">
        <v>320</v>
      </c>
      <c r="H142" s="81">
        <v>0</v>
      </c>
    </row>
    <row r="143" spans="1:8" s="63" customFormat="1" ht="47.25">
      <c r="A143" s="128" t="s">
        <v>408</v>
      </c>
      <c r="B143" s="159">
        <v>934</v>
      </c>
      <c r="C143" s="129" t="s">
        <v>161</v>
      </c>
      <c r="D143" s="129" t="s">
        <v>162</v>
      </c>
      <c r="E143" s="129" t="s">
        <v>814</v>
      </c>
      <c r="F143" s="159"/>
      <c r="G143" s="93">
        <f>G144+G145</f>
        <v>1.7</v>
      </c>
      <c r="H143" s="93">
        <f>H144+H145</f>
        <v>0</v>
      </c>
    </row>
    <row r="144" spans="1:8" s="63" customFormat="1">
      <c r="A144" s="138" t="s">
        <v>324</v>
      </c>
      <c r="B144" s="124">
        <v>934</v>
      </c>
      <c r="C144" s="120" t="s">
        <v>161</v>
      </c>
      <c r="D144" s="120" t="s">
        <v>162</v>
      </c>
      <c r="E144" s="129" t="s">
        <v>814</v>
      </c>
      <c r="F144" s="124">
        <v>121</v>
      </c>
      <c r="G144" s="119">
        <v>1.30568</v>
      </c>
      <c r="H144" s="119">
        <v>0</v>
      </c>
    </row>
    <row r="145" spans="1:8" s="63" customFormat="1" ht="47.25">
      <c r="A145" s="204" t="s">
        <v>325</v>
      </c>
      <c r="B145" s="124">
        <v>934</v>
      </c>
      <c r="C145" s="120" t="s">
        <v>161</v>
      </c>
      <c r="D145" s="120" t="s">
        <v>162</v>
      </c>
      <c r="E145" s="129" t="s">
        <v>814</v>
      </c>
      <c r="F145" s="124">
        <v>129</v>
      </c>
      <c r="G145" s="119">
        <v>0.39432</v>
      </c>
      <c r="H145" s="119">
        <v>0</v>
      </c>
    </row>
    <row r="146" spans="1:8" s="63" customFormat="1" ht="31.5">
      <c r="A146" s="496" t="s">
        <v>1112</v>
      </c>
      <c r="B146" s="160">
        <v>934</v>
      </c>
      <c r="C146" s="153" t="s">
        <v>161</v>
      </c>
      <c r="D146" s="153" t="s">
        <v>162</v>
      </c>
      <c r="E146" s="153" t="s">
        <v>619</v>
      </c>
      <c r="F146" s="152"/>
      <c r="G146" s="162">
        <f>G147</f>
        <v>2931.4999999999995</v>
      </c>
      <c r="H146" s="162">
        <f>H147</f>
        <v>2931.4999999999995</v>
      </c>
    </row>
    <row r="147" spans="1:8" s="63" customFormat="1" ht="25.5">
      <c r="A147" s="607" t="s">
        <v>747</v>
      </c>
      <c r="B147" s="160">
        <v>934</v>
      </c>
      <c r="C147" s="153" t="s">
        <v>161</v>
      </c>
      <c r="D147" s="153" t="s">
        <v>162</v>
      </c>
      <c r="E147" s="153" t="s">
        <v>825</v>
      </c>
      <c r="F147" s="152"/>
      <c r="G147" s="162">
        <f>G148+G150+G153+G155</f>
        <v>2931.4999999999995</v>
      </c>
      <c r="H147" s="162">
        <f>H148+H150+H153+H155</f>
        <v>2931.4999999999995</v>
      </c>
    </row>
    <row r="148" spans="1:8" s="63" customFormat="1" ht="31.5">
      <c r="A148" s="46" t="s">
        <v>403</v>
      </c>
      <c r="B148" s="69">
        <v>934</v>
      </c>
      <c r="C148" s="67" t="s">
        <v>161</v>
      </c>
      <c r="D148" s="67" t="s">
        <v>162</v>
      </c>
      <c r="E148" s="129" t="s">
        <v>808</v>
      </c>
      <c r="F148" s="83"/>
      <c r="G148" s="80">
        <f>G149</f>
        <v>2611.1999999999998</v>
      </c>
      <c r="H148" s="80">
        <f>H149</f>
        <v>2611.1999999999998</v>
      </c>
    </row>
    <row r="149" spans="1:8" s="63" customFormat="1" ht="31.5">
      <c r="A149" s="123" t="s">
        <v>209</v>
      </c>
      <c r="B149" s="70">
        <v>934</v>
      </c>
      <c r="C149" s="68" t="s">
        <v>161</v>
      </c>
      <c r="D149" s="68" t="s">
        <v>162</v>
      </c>
      <c r="E149" s="120" t="s">
        <v>808</v>
      </c>
      <c r="F149" s="82">
        <v>244</v>
      </c>
      <c r="G149" s="81">
        <v>2611.1999999999998</v>
      </c>
      <c r="H149" s="81">
        <f>G149</f>
        <v>2611.1999999999998</v>
      </c>
    </row>
    <row r="150" spans="1:8" ht="31.5">
      <c r="A150" s="46" t="s">
        <v>409</v>
      </c>
      <c r="B150" s="69">
        <v>934</v>
      </c>
      <c r="C150" s="67" t="s">
        <v>161</v>
      </c>
      <c r="D150" s="67" t="s">
        <v>162</v>
      </c>
      <c r="E150" s="120" t="s">
        <v>809</v>
      </c>
      <c r="F150" s="83"/>
      <c r="G150" s="80">
        <f>G151+G152</f>
        <v>39.200000000000003</v>
      </c>
      <c r="H150" s="80">
        <f>H151+H152</f>
        <v>39.200000000000003</v>
      </c>
    </row>
    <row r="151" spans="1:8">
      <c r="A151" s="48" t="s">
        <v>324</v>
      </c>
      <c r="B151" s="68">
        <v>934</v>
      </c>
      <c r="C151" s="68" t="s">
        <v>161</v>
      </c>
      <c r="D151" s="68" t="s">
        <v>162</v>
      </c>
      <c r="E151" s="120" t="s">
        <v>809</v>
      </c>
      <c r="F151" s="68" t="s">
        <v>311</v>
      </c>
      <c r="G151" s="81">
        <v>30.107530000000001</v>
      </c>
      <c r="H151" s="81">
        <f>G151</f>
        <v>30.107530000000001</v>
      </c>
    </row>
    <row r="152" spans="1:8" ht="47.25">
      <c r="A152" s="164" t="s">
        <v>325</v>
      </c>
      <c r="B152" s="68">
        <v>934</v>
      </c>
      <c r="C152" s="68" t="s">
        <v>161</v>
      </c>
      <c r="D152" s="68" t="s">
        <v>162</v>
      </c>
      <c r="E152" s="120" t="s">
        <v>810</v>
      </c>
      <c r="F152" s="68" t="s">
        <v>326</v>
      </c>
      <c r="G152" s="81">
        <v>9.0924700000000005</v>
      </c>
      <c r="H152" s="81">
        <f>G152</f>
        <v>9.0924700000000005</v>
      </c>
    </row>
    <row r="153" spans="1:8" ht="47.25">
      <c r="A153" s="204" t="s">
        <v>1097</v>
      </c>
      <c r="B153" s="124">
        <v>934</v>
      </c>
      <c r="C153" s="120" t="s">
        <v>161</v>
      </c>
      <c r="D153" s="120" t="s">
        <v>162</v>
      </c>
      <c r="E153" s="120" t="s">
        <v>811</v>
      </c>
      <c r="F153" s="124"/>
      <c r="G153" s="119">
        <f>G154</f>
        <v>244.4</v>
      </c>
      <c r="H153" s="119">
        <f>H154</f>
        <v>244.4</v>
      </c>
    </row>
    <row r="154" spans="1:8" ht="31.5">
      <c r="A154" s="123" t="s">
        <v>209</v>
      </c>
      <c r="B154" s="124">
        <v>934</v>
      </c>
      <c r="C154" s="120" t="s">
        <v>161</v>
      </c>
      <c r="D154" s="120" t="s">
        <v>162</v>
      </c>
      <c r="E154" s="120" t="s">
        <v>811</v>
      </c>
      <c r="F154" s="124">
        <v>244</v>
      </c>
      <c r="G154" s="119">
        <v>244.4</v>
      </c>
      <c r="H154" s="119">
        <f>G154</f>
        <v>244.4</v>
      </c>
    </row>
    <row r="155" spans="1:8" s="63" customFormat="1" ht="47.25">
      <c r="A155" s="204" t="s">
        <v>1098</v>
      </c>
      <c r="B155" s="124">
        <v>934</v>
      </c>
      <c r="C155" s="120" t="s">
        <v>161</v>
      </c>
      <c r="D155" s="120" t="s">
        <v>162</v>
      </c>
      <c r="E155" s="120" t="s">
        <v>812</v>
      </c>
      <c r="F155" s="124"/>
      <c r="G155" s="119">
        <f>G156+G157</f>
        <v>36.700000000000003</v>
      </c>
      <c r="H155" s="119">
        <f>H156+H157</f>
        <v>36.700000000000003</v>
      </c>
    </row>
    <row r="156" spans="1:8" s="63" customFormat="1">
      <c r="A156" s="48" t="s">
        <v>324</v>
      </c>
      <c r="B156" s="124">
        <v>934</v>
      </c>
      <c r="C156" s="120" t="s">
        <v>161</v>
      </c>
      <c r="D156" s="120" t="s">
        <v>162</v>
      </c>
      <c r="E156" s="120" t="s">
        <v>812</v>
      </c>
      <c r="F156" s="124">
        <v>121</v>
      </c>
      <c r="G156" s="119">
        <v>28.1874</v>
      </c>
      <c r="H156" s="119">
        <f>G156</f>
        <v>28.1874</v>
      </c>
    </row>
    <row r="157" spans="1:8" s="63" customFormat="1" ht="47.25">
      <c r="A157" s="164" t="s">
        <v>325</v>
      </c>
      <c r="B157" s="124">
        <v>934</v>
      </c>
      <c r="C157" s="120" t="s">
        <v>161</v>
      </c>
      <c r="D157" s="120" t="s">
        <v>162</v>
      </c>
      <c r="E157" s="120" t="s">
        <v>812</v>
      </c>
      <c r="F157" s="124">
        <v>129</v>
      </c>
      <c r="G157" s="119">
        <v>8.5126000000000008</v>
      </c>
      <c r="H157" s="119">
        <f>G157</f>
        <v>8.5126000000000008</v>
      </c>
    </row>
    <row r="158" spans="1:8" s="63" customFormat="1">
      <c r="A158" s="51" t="s">
        <v>25</v>
      </c>
      <c r="B158" s="78">
        <v>934</v>
      </c>
      <c r="C158" s="78" t="s">
        <v>161</v>
      </c>
      <c r="D158" s="78" t="s">
        <v>159</v>
      </c>
      <c r="E158" s="75"/>
      <c r="F158" s="78"/>
      <c r="G158" s="79">
        <f>G169+G159</f>
        <v>553.79999999999995</v>
      </c>
      <c r="H158" s="79">
        <f>H169+H159</f>
        <v>553.79999999999995</v>
      </c>
    </row>
    <row r="159" spans="1:8" s="63" customFormat="1" ht="47.25">
      <c r="A159" s="342" t="s">
        <v>1104</v>
      </c>
      <c r="B159" s="153" t="s">
        <v>140</v>
      </c>
      <c r="C159" s="153" t="s">
        <v>161</v>
      </c>
      <c r="D159" s="153" t="s">
        <v>159</v>
      </c>
      <c r="E159" s="153" t="s">
        <v>398</v>
      </c>
      <c r="F159" s="153"/>
      <c r="G159" s="162">
        <f t="shared" ref="G159:H160" si="8">G160</f>
        <v>550</v>
      </c>
      <c r="H159" s="162">
        <f t="shared" si="8"/>
        <v>550</v>
      </c>
    </row>
    <row r="160" spans="1:8" s="63" customFormat="1" ht="31.5">
      <c r="A160" s="342" t="s">
        <v>1111</v>
      </c>
      <c r="B160" s="153" t="s">
        <v>140</v>
      </c>
      <c r="C160" s="153" t="s">
        <v>161</v>
      </c>
      <c r="D160" s="153" t="s">
        <v>159</v>
      </c>
      <c r="E160" s="153" t="s">
        <v>379</v>
      </c>
      <c r="F160" s="153"/>
      <c r="G160" s="162">
        <f t="shared" si="8"/>
        <v>550</v>
      </c>
      <c r="H160" s="162">
        <f t="shared" si="8"/>
        <v>550</v>
      </c>
    </row>
    <row r="161" spans="1:8" s="63" customFormat="1">
      <c r="A161" s="342" t="s">
        <v>644</v>
      </c>
      <c r="B161" s="153" t="s">
        <v>140</v>
      </c>
      <c r="C161" s="153" t="s">
        <v>161</v>
      </c>
      <c r="D161" s="153" t="s">
        <v>159</v>
      </c>
      <c r="E161" s="153" t="s">
        <v>379</v>
      </c>
      <c r="F161" s="153"/>
      <c r="G161" s="162">
        <f>G162+G165+G167</f>
        <v>550</v>
      </c>
      <c r="H161" s="162">
        <f>H162+H165+H167</f>
        <v>550</v>
      </c>
    </row>
    <row r="162" spans="1:8" s="63" customFormat="1" ht="31.5">
      <c r="A162" s="175" t="s">
        <v>1103</v>
      </c>
      <c r="B162" s="68" t="s">
        <v>140</v>
      </c>
      <c r="C162" s="68" t="s">
        <v>161</v>
      </c>
      <c r="D162" s="68" t="s">
        <v>159</v>
      </c>
      <c r="E162" s="68" t="s">
        <v>380</v>
      </c>
      <c r="F162" s="172"/>
      <c r="G162" s="167">
        <f>G163+G164</f>
        <v>150</v>
      </c>
      <c r="H162" s="167">
        <f>H163+H164</f>
        <v>150</v>
      </c>
    </row>
    <row r="163" spans="1:8" s="63" customFormat="1" ht="31.5">
      <c r="A163" s="123" t="s">
        <v>209</v>
      </c>
      <c r="B163" s="68" t="s">
        <v>140</v>
      </c>
      <c r="C163" s="68" t="s">
        <v>161</v>
      </c>
      <c r="D163" s="68" t="s">
        <v>159</v>
      </c>
      <c r="E163" s="68" t="s">
        <v>380</v>
      </c>
      <c r="F163" s="68" t="s">
        <v>312</v>
      </c>
      <c r="G163" s="81">
        <v>120</v>
      </c>
      <c r="H163" s="81">
        <v>120</v>
      </c>
    </row>
    <row r="164" spans="1:8" s="63" customFormat="1">
      <c r="A164" s="48" t="s">
        <v>130</v>
      </c>
      <c r="B164" s="68" t="s">
        <v>140</v>
      </c>
      <c r="C164" s="68" t="s">
        <v>161</v>
      </c>
      <c r="D164" s="68" t="s">
        <v>159</v>
      </c>
      <c r="E164" s="68" t="s">
        <v>380</v>
      </c>
      <c r="F164" s="68" t="s">
        <v>746</v>
      </c>
      <c r="G164" s="81">
        <v>30</v>
      </c>
      <c r="H164" s="81">
        <v>30</v>
      </c>
    </row>
    <row r="165" spans="1:8" s="63" customFormat="1" ht="47.25" hidden="1">
      <c r="A165" s="123" t="s">
        <v>735</v>
      </c>
      <c r="B165" s="68" t="s">
        <v>140</v>
      </c>
      <c r="C165" s="68" t="s">
        <v>161</v>
      </c>
      <c r="D165" s="68" t="s">
        <v>159</v>
      </c>
      <c r="E165" s="68" t="s">
        <v>737</v>
      </c>
      <c r="F165" s="68"/>
      <c r="G165" s="81">
        <f>G166</f>
        <v>0</v>
      </c>
      <c r="H165" s="81">
        <f>H166</f>
        <v>0</v>
      </c>
    </row>
    <row r="166" spans="1:8" s="63" customFormat="1" ht="31.5" hidden="1">
      <c r="A166" s="123" t="s">
        <v>209</v>
      </c>
      <c r="B166" s="68" t="s">
        <v>140</v>
      </c>
      <c r="C166" s="68" t="s">
        <v>161</v>
      </c>
      <c r="D166" s="68" t="s">
        <v>159</v>
      </c>
      <c r="E166" s="68" t="s">
        <v>737</v>
      </c>
      <c r="F166" s="68" t="s">
        <v>312</v>
      </c>
      <c r="G166" s="81">
        <v>0</v>
      </c>
      <c r="H166" s="81">
        <f>G166</f>
        <v>0</v>
      </c>
    </row>
    <row r="167" spans="1:8" s="63" customFormat="1" ht="63">
      <c r="A167" s="123" t="s">
        <v>736</v>
      </c>
      <c r="B167" s="68" t="s">
        <v>140</v>
      </c>
      <c r="C167" s="68" t="s">
        <v>161</v>
      </c>
      <c r="D167" s="68" t="s">
        <v>159</v>
      </c>
      <c r="E167" s="68" t="s">
        <v>737</v>
      </c>
      <c r="F167" s="68"/>
      <c r="G167" s="81">
        <f>G168</f>
        <v>400</v>
      </c>
      <c r="H167" s="81">
        <f>H168</f>
        <v>400</v>
      </c>
    </row>
    <row r="168" spans="1:8" s="63" customFormat="1" ht="31.5">
      <c r="A168" s="123" t="s">
        <v>209</v>
      </c>
      <c r="B168" s="68" t="s">
        <v>140</v>
      </c>
      <c r="C168" s="68" t="s">
        <v>161</v>
      </c>
      <c r="D168" s="68" t="s">
        <v>159</v>
      </c>
      <c r="E168" s="68" t="s">
        <v>737</v>
      </c>
      <c r="F168" s="68" t="s">
        <v>312</v>
      </c>
      <c r="G168" s="81">
        <v>400</v>
      </c>
      <c r="H168" s="81">
        <v>400</v>
      </c>
    </row>
    <row r="169" spans="1:8" s="63" customFormat="1">
      <c r="A169" s="466" t="s">
        <v>359</v>
      </c>
      <c r="B169" s="68" t="s">
        <v>140</v>
      </c>
      <c r="C169" s="68" t="s">
        <v>161</v>
      </c>
      <c r="D169" s="68" t="s">
        <v>159</v>
      </c>
      <c r="E169" s="75" t="s">
        <v>0</v>
      </c>
      <c r="F169" s="74"/>
      <c r="G169" s="76">
        <f>G170</f>
        <v>3.8</v>
      </c>
      <c r="H169" s="76">
        <f>H170</f>
        <v>3.8</v>
      </c>
    </row>
    <row r="170" spans="1:8" s="63" customFormat="1" ht="66" customHeight="1">
      <c r="A170" s="49" t="s">
        <v>313</v>
      </c>
      <c r="B170" s="68" t="s">
        <v>140</v>
      </c>
      <c r="C170" s="68" t="s">
        <v>161</v>
      </c>
      <c r="D170" s="68" t="s">
        <v>159</v>
      </c>
      <c r="E170" s="67" t="s">
        <v>959</v>
      </c>
      <c r="F170" s="69"/>
      <c r="G170" s="81">
        <f>G171+G172</f>
        <v>3.8</v>
      </c>
      <c r="H170" s="81">
        <f>H171+H172</f>
        <v>3.8</v>
      </c>
    </row>
    <row r="171" spans="1:8" s="63" customFormat="1">
      <c r="A171" s="48" t="s">
        <v>324</v>
      </c>
      <c r="B171" s="68" t="s">
        <v>140</v>
      </c>
      <c r="C171" s="68" t="s">
        <v>161</v>
      </c>
      <c r="D171" s="68" t="s">
        <v>159</v>
      </c>
      <c r="E171" s="67" t="s">
        <v>959</v>
      </c>
      <c r="F171" s="70">
        <v>121</v>
      </c>
      <c r="G171" s="81">
        <v>2.91858</v>
      </c>
      <c r="H171" s="81">
        <v>2.91858</v>
      </c>
    </row>
    <row r="172" spans="1:8" s="63" customFormat="1" ht="31.5" customHeight="1">
      <c r="A172" s="164" t="s">
        <v>325</v>
      </c>
      <c r="B172" s="68" t="s">
        <v>140</v>
      </c>
      <c r="C172" s="68" t="s">
        <v>161</v>
      </c>
      <c r="D172" s="68" t="s">
        <v>159</v>
      </c>
      <c r="E172" s="67" t="s">
        <v>959</v>
      </c>
      <c r="F172" s="69">
        <v>129</v>
      </c>
      <c r="G172" s="81">
        <v>0.88141999999999998</v>
      </c>
      <c r="H172" s="81">
        <v>0.88141999999999998</v>
      </c>
    </row>
    <row r="173" spans="1:8" s="64" customFormat="1">
      <c r="A173" s="52" t="s">
        <v>307</v>
      </c>
      <c r="B173" s="75">
        <v>934</v>
      </c>
      <c r="C173" s="75" t="s">
        <v>154</v>
      </c>
      <c r="D173" s="75"/>
      <c r="E173" s="85"/>
      <c r="F173" s="75"/>
      <c r="G173" s="76">
        <f>G174+G182</f>
        <v>22784.840820000001</v>
      </c>
      <c r="H173" s="76">
        <f>H174+H182</f>
        <v>22794.840820000001</v>
      </c>
    </row>
    <row r="174" spans="1:8" s="64" customFormat="1">
      <c r="A174" s="51" t="s">
        <v>364</v>
      </c>
      <c r="B174" s="78" t="s">
        <v>140</v>
      </c>
      <c r="C174" s="78" t="s">
        <v>154</v>
      </c>
      <c r="D174" s="78" t="s">
        <v>155</v>
      </c>
      <c r="E174" s="85"/>
      <c r="F174" s="78"/>
      <c r="G174" s="79">
        <f>G175</f>
        <v>22582.800000000003</v>
      </c>
      <c r="H174" s="79">
        <f>H175</f>
        <v>22582.800000000003</v>
      </c>
    </row>
    <row r="175" spans="1:8" s="64" customFormat="1" ht="32.25" customHeight="1">
      <c r="A175" s="142" t="s">
        <v>1126</v>
      </c>
      <c r="B175" s="144" t="s">
        <v>140</v>
      </c>
      <c r="C175" s="144" t="s">
        <v>154</v>
      </c>
      <c r="D175" s="144" t="s">
        <v>155</v>
      </c>
      <c r="E175" s="144" t="s">
        <v>404</v>
      </c>
      <c r="F175" s="144"/>
      <c r="G175" s="146">
        <f t="shared" ref="G175:H175" si="9">G176</f>
        <v>22582.800000000003</v>
      </c>
      <c r="H175" s="146">
        <f t="shared" si="9"/>
        <v>22582.800000000003</v>
      </c>
    </row>
    <row r="176" spans="1:8" s="64" customFormat="1" ht="32.25" customHeight="1">
      <c r="A176" s="142" t="s">
        <v>645</v>
      </c>
      <c r="B176" s="144" t="s">
        <v>140</v>
      </c>
      <c r="C176" s="144" t="s">
        <v>154</v>
      </c>
      <c r="D176" s="144" t="s">
        <v>155</v>
      </c>
      <c r="E176" s="144" t="s">
        <v>404</v>
      </c>
      <c r="F176" s="144"/>
      <c r="G176" s="146">
        <f>G177+G179+G181</f>
        <v>22582.800000000003</v>
      </c>
      <c r="H176" s="146">
        <f>H177+H179+H181</f>
        <v>22582.800000000003</v>
      </c>
    </row>
    <row r="177" spans="1:8" s="64" customFormat="1" ht="32.25" customHeight="1">
      <c r="A177" s="49" t="s">
        <v>122</v>
      </c>
      <c r="B177" s="67" t="s">
        <v>140</v>
      </c>
      <c r="C177" s="67" t="s">
        <v>154</v>
      </c>
      <c r="D177" s="67" t="s">
        <v>155</v>
      </c>
      <c r="E177" s="68" t="s">
        <v>490</v>
      </c>
      <c r="F177" s="67"/>
      <c r="G177" s="93">
        <f>G178</f>
        <v>8553.2000000000007</v>
      </c>
      <c r="H177" s="93">
        <f>H178</f>
        <v>8553.2000000000007</v>
      </c>
    </row>
    <row r="178" spans="1:8" s="64" customFormat="1" ht="32.25" customHeight="1">
      <c r="A178" s="48" t="s">
        <v>269</v>
      </c>
      <c r="B178" s="68" t="s">
        <v>140</v>
      </c>
      <c r="C178" s="68" t="s">
        <v>154</v>
      </c>
      <c r="D178" s="68" t="s">
        <v>155</v>
      </c>
      <c r="E178" s="68" t="s">
        <v>490</v>
      </c>
      <c r="F178" s="68" t="s">
        <v>270</v>
      </c>
      <c r="G178" s="81">
        <v>8553.2000000000007</v>
      </c>
      <c r="H178" s="81">
        <v>8553.2000000000007</v>
      </c>
    </row>
    <row r="179" spans="1:8" s="64" customFormat="1" ht="32.25" customHeight="1">
      <c r="A179" s="48" t="s">
        <v>489</v>
      </c>
      <c r="B179" s="67" t="s">
        <v>140</v>
      </c>
      <c r="C179" s="67" t="s">
        <v>154</v>
      </c>
      <c r="D179" s="67" t="s">
        <v>155</v>
      </c>
      <c r="E179" s="68" t="s">
        <v>490</v>
      </c>
      <c r="F179" s="67"/>
      <c r="G179" s="81">
        <f>G180</f>
        <v>3500</v>
      </c>
      <c r="H179" s="81">
        <v>3500</v>
      </c>
    </row>
    <row r="180" spans="1:8" s="64" customFormat="1" ht="32.25" customHeight="1">
      <c r="A180" s="48" t="s">
        <v>269</v>
      </c>
      <c r="B180" s="68" t="s">
        <v>140</v>
      </c>
      <c r="C180" s="68" t="s">
        <v>154</v>
      </c>
      <c r="D180" s="68" t="s">
        <v>155</v>
      </c>
      <c r="E180" s="68" t="s">
        <v>490</v>
      </c>
      <c r="F180" s="68" t="s">
        <v>270</v>
      </c>
      <c r="G180" s="81">
        <v>3500</v>
      </c>
      <c r="H180" s="81">
        <v>3500</v>
      </c>
    </row>
    <row r="181" spans="1:8" s="64" customFormat="1" ht="32.25" customHeight="1">
      <c r="A181" s="48" t="s">
        <v>268</v>
      </c>
      <c r="B181" s="68" t="s">
        <v>140</v>
      </c>
      <c r="C181" s="68" t="s">
        <v>154</v>
      </c>
      <c r="D181" s="68" t="s">
        <v>155</v>
      </c>
      <c r="E181" s="68" t="s">
        <v>392</v>
      </c>
      <c r="F181" s="68" t="s">
        <v>320</v>
      </c>
      <c r="G181" s="81">
        <f>809.7+9719.9</f>
        <v>10529.6</v>
      </c>
      <c r="H181" s="81">
        <v>10529.6</v>
      </c>
    </row>
    <row r="182" spans="1:8" s="64" customFormat="1">
      <c r="A182" s="51" t="s">
        <v>300</v>
      </c>
      <c r="B182" s="77">
        <v>934</v>
      </c>
      <c r="C182" s="78" t="s">
        <v>154</v>
      </c>
      <c r="D182" s="78" t="s">
        <v>154</v>
      </c>
      <c r="E182" s="78"/>
      <c r="F182" s="78"/>
      <c r="G182" s="79">
        <f>G183</f>
        <v>202.04082</v>
      </c>
      <c r="H182" s="79">
        <f t="shared" ref="H182" si="10">H183</f>
        <v>212.04082</v>
      </c>
    </row>
    <row r="183" spans="1:8" s="64" customFormat="1" ht="31.5">
      <c r="A183" s="142" t="s">
        <v>1106</v>
      </c>
      <c r="B183" s="143">
        <v>934</v>
      </c>
      <c r="C183" s="144" t="s">
        <v>154</v>
      </c>
      <c r="D183" s="144" t="s">
        <v>154</v>
      </c>
      <c r="E183" s="144" t="s">
        <v>428</v>
      </c>
      <c r="F183" s="144"/>
      <c r="G183" s="146">
        <f t="shared" ref="G183" si="11">G184</f>
        <v>202.04082</v>
      </c>
      <c r="H183" s="146">
        <f>H184</f>
        <v>212.04082</v>
      </c>
    </row>
    <row r="184" spans="1:8" s="64" customFormat="1" ht="24.75" customHeight="1">
      <c r="A184" s="147" t="s">
        <v>1108</v>
      </c>
      <c r="B184" s="149">
        <v>934</v>
      </c>
      <c r="C184" s="149" t="s">
        <v>154</v>
      </c>
      <c r="D184" s="149" t="s">
        <v>154</v>
      </c>
      <c r="E184" s="512" t="s">
        <v>773</v>
      </c>
      <c r="F184" s="149"/>
      <c r="G184" s="150">
        <f>G185+G188+G190</f>
        <v>202.04082</v>
      </c>
      <c r="H184" s="150">
        <f>H185+H188+H190</f>
        <v>212.04082</v>
      </c>
    </row>
    <row r="185" spans="1:8" s="64" customFormat="1" ht="32.25" customHeight="1">
      <c r="A185" s="147" t="s">
        <v>646</v>
      </c>
      <c r="B185" s="149" t="s">
        <v>140</v>
      </c>
      <c r="C185" s="149" t="s">
        <v>154</v>
      </c>
      <c r="D185" s="149" t="s">
        <v>154</v>
      </c>
      <c r="E185" s="512" t="s">
        <v>393</v>
      </c>
      <c r="F185" s="149"/>
      <c r="G185" s="150">
        <f>G186+G187</f>
        <v>100</v>
      </c>
      <c r="H185" s="150">
        <f>H186+H187</f>
        <v>110</v>
      </c>
    </row>
    <row r="186" spans="1:8" s="64" customFormat="1" ht="32.25" customHeight="1">
      <c r="A186" s="123" t="s">
        <v>209</v>
      </c>
      <c r="B186" s="70">
        <v>934</v>
      </c>
      <c r="C186" s="68" t="s">
        <v>154</v>
      </c>
      <c r="D186" s="68" t="s">
        <v>154</v>
      </c>
      <c r="E186" s="373" t="s">
        <v>393</v>
      </c>
      <c r="F186" s="68" t="s">
        <v>312</v>
      </c>
      <c r="G186" s="169">
        <v>70</v>
      </c>
      <c r="H186" s="169">
        <v>80</v>
      </c>
    </row>
    <row r="187" spans="1:8" s="64" customFormat="1" ht="32.25" customHeight="1">
      <c r="A187" s="48" t="s">
        <v>130</v>
      </c>
      <c r="B187" s="70">
        <v>934</v>
      </c>
      <c r="C187" s="68" t="s">
        <v>154</v>
      </c>
      <c r="D187" s="68" t="s">
        <v>154</v>
      </c>
      <c r="E187" s="373" t="s">
        <v>393</v>
      </c>
      <c r="F187" s="68" t="s">
        <v>746</v>
      </c>
      <c r="G187" s="169">
        <v>30</v>
      </c>
      <c r="H187" s="81">
        <f>G187</f>
        <v>30</v>
      </c>
    </row>
    <row r="188" spans="1:8" s="64" customFormat="1" ht="32.25" customHeight="1">
      <c r="A188" s="186" t="s">
        <v>770</v>
      </c>
      <c r="B188" s="70">
        <v>934</v>
      </c>
      <c r="C188" s="68" t="s">
        <v>154</v>
      </c>
      <c r="D188" s="68" t="s">
        <v>154</v>
      </c>
      <c r="E188" s="68" t="s">
        <v>774</v>
      </c>
      <c r="F188" s="168"/>
      <c r="G188" s="169">
        <f>G189</f>
        <v>100</v>
      </c>
      <c r="H188" s="81">
        <f>H189</f>
        <v>100</v>
      </c>
    </row>
    <row r="189" spans="1:8" s="64" customFormat="1" ht="32.25" customHeight="1">
      <c r="A189" s="123" t="s">
        <v>209</v>
      </c>
      <c r="B189" s="70">
        <v>934</v>
      </c>
      <c r="C189" s="68" t="s">
        <v>154</v>
      </c>
      <c r="D189" s="68" t="s">
        <v>154</v>
      </c>
      <c r="E189" s="68" t="s">
        <v>774</v>
      </c>
      <c r="F189" s="68" t="s">
        <v>312</v>
      </c>
      <c r="G189" s="81">
        <v>100</v>
      </c>
      <c r="H189" s="81">
        <v>100</v>
      </c>
    </row>
    <row r="190" spans="1:8" s="64" customFormat="1" ht="32.25" customHeight="1">
      <c r="A190" s="123" t="s">
        <v>775</v>
      </c>
      <c r="B190" s="70">
        <v>934</v>
      </c>
      <c r="C190" s="68" t="s">
        <v>154</v>
      </c>
      <c r="D190" s="68" t="s">
        <v>154</v>
      </c>
      <c r="E190" s="68" t="s">
        <v>774</v>
      </c>
      <c r="F190" s="68"/>
      <c r="G190" s="81">
        <f>G191</f>
        <v>2.0408200000000001</v>
      </c>
      <c r="H190" s="81">
        <v>2.0408200000000001</v>
      </c>
    </row>
    <row r="191" spans="1:8" s="64" customFormat="1" ht="32.25" customHeight="1">
      <c r="A191" s="123" t="s">
        <v>209</v>
      </c>
      <c r="B191" s="70">
        <v>934</v>
      </c>
      <c r="C191" s="68" t="s">
        <v>154</v>
      </c>
      <c r="D191" s="68" t="s">
        <v>154</v>
      </c>
      <c r="E191" s="68" t="s">
        <v>774</v>
      </c>
      <c r="F191" s="68" t="s">
        <v>312</v>
      </c>
      <c r="G191" s="81">
        <v>2.0408200000000001</v>
      </c>
      <c r="H191" s="81">
        <v>2.0408200000000001</v>
      </c>
    </row>
    <row r="192" spans="1:8">
      <c r="A192" s="52" t="s">
        <v>271</v>
      </c>
      <c r="B192" s="75" t="s">
        <v>140</v>
      </c>
      <c r="C192" s="75" t="s">
        <v>163</v>
      </c>
      <c r="D192" s="75"/>
      <c r="E192" s="75"/>
      <c r="F192" s="75"/>
      <c r="G192" s="76">
        <f>G193</f>
        <v>73011.690709999995</v>
      </c>
      <c r="H192" s="76">
        <f>H193</f>
        <v>73011.690709999995</v>
      </c>
    </row>
    <row r="193" spans="1:8">
      <c r="A193" s="51" t="s">
        <v>305</v>
      </c>
      <c r="B193" s="78" t="s">
        <v>140</v>
      </c>
      <c r="C193" s="78" t="s">
        <v>163</v>
      </c>
      <c r="D193" s="78" t="s">
        <v>152</v>
      </c>
      <c r="E193" s="75"/>
      <c r="F193" s="78"/>
      <c r="G193" s="79">
        <f>G194+G204</f>
        <v>73011.690709999995</v>
      </c>
      <c r="H193" s="79">
        <f>H194+H204</f>
        <v>73011.690709999995</v>
      </c>
    </row>
    <row r="194" spans="1:8" ht="31.5">
      <c r="A194" s="142" t="s">
        <v>1127</v>
      </c>
      <c r="B194" s="143">
        <v>934</v>
      </c>
      <c r="C194" s="144" t="s">
        <v>163</v>
      </c>
      <c r="D194" s="144" t="s">
        <v>152</v>
      </c>
      <c r="E194" s="144" t="s">
        <v>404</v>
      </c>
      <c r="F194" s="144"/>
      <c r="G194" s="146">
        <f t="shared" ref="G194:H194" si="12">G195</f>
        <v>71811.690709999995</v>
      </c>
      <c r="H194" s="146">
        <f t="shared" si="12"/>
        <v>71811.690709999995</v>
      </c>
    </row>
    <row r="195" spans="1:8" ht="31.5">
      <c r="A195" s="142" t="s">
        <v>682</v>
      </c>
      <c r="B195" s="143">
        <v>934</v>
      </c>
      <c r="C195" s="144" t="s">
        <v>163</v>
      </c>
      <c r="D195" s="144" t="s">
        <v>152</v>
      </c>
      <c r="E195" s="144" t="s">
        <v>404</v>
      </c>
      <c r="F195" s="144"/>
      <c r="G195" s="146">
        <f>G196+G198+G200+G202</f>
        <v>71811.690709999995</v>
      </c>
      <c r="H195" s="146">
        <f>H196+H198+H200+H202</f>
        <v>71811.690709999995</v>
      </c>
    </row>
    <row r="196" spans="1:8" ht="47.25">
      <c r="A196" s="49" t="s">
        <v>97</v>
      </c>
      <c r="B196" s="67" t="s">
        <v>140</v>
      </c>
      <c r="C196" s="67" t="s">
        <v>163</v>
      </c>
      <c r="D196" s="67" t="s">
        <v>152</v>
      </c>
      <c r="E196" s="67" t="s">
        <v>394</v>
      </c>
      <c r="F196" s="67"/>
      <c r="G196" s="93">
        <f>G197</f>
        <v>19913.099999999999</v>
      </c>
      <c r="H196" s="93">
        <f>H197</f>
        <v>19913.099999999999</v>
      </c>
    </row>
    <row r="197" spans="1:8" ht="47.25">
      <c r="A197" s="48" t="s">
        <v>204</v>
      </c>
      <c r="B197" s="68" t="s">
        <v>140</v>
      </c>
      <c r="C197" s="68" t="s">
        <v>163</v>
      </c>
      <c r="D197" s="68" t="s">
        <v>152</v>
      </c>
      <c r="E197" s="68" t="s">
        <v>394</v>
      </c>
      <c r="F197" s="68" t="s">
        <v>319</v>
      </c>
      <c r="G197" s="81">
        <f>3288+3112+13513.1</f>
        <v>19913.099999999999</v>
      </c>
      <c r="H197" s="81">
        <f>3288+3112+13513.1</f>
        <v>19913.099999999999</v>
      </c>
    </row>
    <row r="198" spans="1:8" ht="31.5">
      <c r="A198" s="49" t="s">
        <v>69</v>
      </c>
      <c r="B198" s="67" t="s">
        <v>140</v>
      </c>
      <c r="C198" s="67" t="s">
        <v>163</v>
      </c>
      <c r="D198" s="67" t="s">
        <v>152</v>
      </c>
      <c r="E198" s="68" t="s">
        <v>395</v>
      </c>
      <c r="F198" s="67"/>
      <c r="G198" s="80">
        <f>G199</f>
        <v>4869.3907099999997</v>
      </c>
      <c r="H198" s="80">
        <f>H199</f>
        <v>4869.3907099999997</v>
      </c>
    </row>
    <row r="199" spans="1:8" ht="47.25">
      <c r="A199" s="48" t="s">
        <v>204</v>
      </c>
      <c r="B199" s="68" t="s">
        <v>140</v>
      </c>
      <c r="C199" s="68" t="s">
        <v>163</v>
      </c>
      <c r="D199" s="68" t="s">
        <v>152</v>
      </c>
      <c r="E199" s="68" t="s">
        <v>395</v>
      </c>
      <c r="F199" s="68" t="s">
        <v>319</v>
      </c>
      <c r="G199" s="535">
        <f>3299.31236+300.15722+1269.92113</f>
        <v>4869.3907099999997</v>
      </c>
      <c r="H199" s="535">
        <f>3299.31236+300.15722+1269.92113</f>
        <v>4869.3907099999997</v>
      </c>
    </row>
    <row r="200" spans="1:8" ht="31.5">
      <c r="A200" s="49" t="s">
        <v>410</v>
      </c>
      <c r="B200" s="69">
        <v>934</v>
      </c>
      <c r="C200" s="67" t="s">
        <v>163</v>
      </c>
      <c r="D200" s="67" t="s">
        <v>152</v>
      </c>
      <c r="E200" s="120" t="s">
        <v>530</v>
      </c>
      <c r="F200" s="67"/>
      <c r="G200" s="119">
        <f>G201</f>
        <v>30091.200000000001</v>
      </c>
      <c r="H200" s="119">
        <f>H201</f>
        <v>30091.200000000001</v>
      </c>
    </row>
    <row r="201" spans="1:8">
      <c r="A201" s="48" t="s">
        <v>205</v>
      </c>
      <c r="B201" s="124">
        <v>934</v>
      </c>
      <c r="C201" s="120" t="s">
        <v>163</v>
      </c>
      <c r="D201" s="120" t="s">
        <v>152</v>
      </c>
      <c r="E201" s="120" t="s">
        <v>530</v>
      </c>
      <c r="F201" s="120" t="s">
        <v>202</v>
      </c>
      <c r="G201" s="119">
        <v>30091.200000000001</v>
      </c>
      <c r="H201" s="119">
        <v>30091.200000000001</v>
      </c>
    </row>
    <row r="202" spans="1:8" ht="31.5">
      <c r="A202" s="48" t="s">
        <v>488</v>
      </c>
      <c r="B202" s="70">
        <v>934</v>
      </c>
      <c r="C202" s="68" t="s">
        <v>163</v>
      </c>
      <c r="D202" s="68" t="s">
        <v>152</v>
      </c>
      <c r="E202" s="120" t="s">
        <v>530</v>
      </c>
      <c r="F202" s="68"/>
      <c r="G202" s="119">
        <f>G203</f>
        <v>16938</v>
      </c>
      <c r="H202" s="119">
        <f>H203</f>
        <v>16938</v>
      </c>
    </row>
    <row r="203" spans="1:8">
      <c r="A203" s="48" t="s">
        <v>205</v>
      </c>
      <c r="B203" s="124">
        <v>934</v>
      </c>
      <c r="C203" s="120" t="s">
        <v>163</v>
      </c>
      <c r="D203" s="120" t="s">
        <v>152</v>
      </c>
      <c r="E203" s="120" t="s">
        <v>530</v>
      </c>
      <c r="F203" s="120" t="s">
        <v>202</v>
      </c>
      <c r="G203" s="119">
        <v>16938</v>
      </c>
      <c r="H203" s="119">
        <v>16938</v>
      </c>
    </row>
    <row r="204" spans="1:8" ht="47.25">
      <c r="A204" s="342" t="s">
        <v>1102</v>
      </c>
      <c r="B204" s="153" t="s">
        <v>140</v>
      </c>
      <c r="C204" s="153" t="s">
        <v>163</v>
      </c>
      <c r="D204" s="153" t="s">
        <v>152</v>
      </c>
      <c r="E204" s="160" t="s">
        <v>391</v>
      </c>
      <c r="F204" s="153"/>
      <c r="G204" s="162">
        <f>G205</f>
        <v>1200</v>
      </c>
      <c r="H204" s="162">
        <f>H205</f>
        <v>1200</v>
      </c>
    </row>
    <row r="205" spans="1:8">
      <c r="A205" s="48" t="s">
        <v>205</v>
      </c>
      <c r="B205" s="68" t="s">
        <v>140</v>
      </c>
      <c r="C205" s="68" t="s">
        <v>163</v>
      </c>
      <c r="D205" s="68" t="s">
        <v>152</v>
      </c>
      <c r="E205" s="68" t="s">
        <v>391</v>
      </c>
      <c r="F205" s="172" t="s">
        <v>202</v>
      </c>
      <c r="G205" s="167">
        <v>1200</v>
      </c>
      <c r="H205" s="167">
        <v>1200</v>
      </c>
    </row>
    <row r="206" spans="1:8">
      <c r="A206" s="799" t="s">
        <v>1252</v>
      </c>
      <c r="B206" s="75" t="s">
        <v>140</v>
      </c>
      <c r="C206" s="75" t="s">
        <v>156</v>
      </c>
      <c r="D206" s="75"/>
      <c r="E206" s="75"/>
      <c r="F206" s="271"/>
      <c r="G206" s="94">
        <f t="shared" ref="G206:H209" si="13">G207</f>
        <v>10</v>
      </c>
      <c r="H206" s="167">
        <f t="shared" si="13"/>
        <v>10</v>
      </c>
    </row>
    <row r="207" spans="1:8">
      <c r="A207" s="799" t="s">
        <v>1251</v>
      </c>
      <c r="B207" s="75" t="s">
        <v>140</v>
      </c>
      <c r="C207" s="75" t="s">
        <v>156</v>
      </c>
      <c r="D207" s="75" t="s">
        <v>156</v>
      </c>
      <c r="E207" s="480"/>
      <c r="F207" s="271"/>
      <c r="G207" s="94">
        <f t="shared" si="13"/>
        <v>10</v>
      </c>
      <c r="H207" s="318">
        <f t="shared" si="13"/>
        <v>10</v>
      </c>
    </row>
    <row r="208" spans="1:8">
      <c r="A208" s="161" t="s">
        <v>359</v>
      </c>
      <c r="B208" s="153" t="s">
        <v>140</v>
      </c>
      <c r="C208" s="153" t="s">
        <v>156</v>
      </c>
      <c r="D208" s="805" t="s">
        <v>156</v>
      </c>
      <c r="E208" s="160" t="s">
        <v>384</v>
      </c>
      <c r="F208" s="806"/>
      <c r="G208" s="162">
        <f t="shared" si="13"/>
        <v>10</v>
      </c>
      <c r="H208" s="162">
        <f t="shared" si="13"/>
        <v>10</v>
      </c>
    </row>
    <row r="209" spans="1:8" ht="47.25">
      <c r="A209" s="801" t="s">
        <v>1254</v>
      </c>
      <c r="B209" s="68" t="s">
        <v>140</v>
      </c>
      <c r="C209" s="68" t="s">
        <v>156</v>
      </c>
      <c r="D209" s="68" t="s">
        <v>156</v>
      </c>
      <c r="E209" s="139" t="s">
        <v>1265</v>
      </c>
      <c r="F209" s="120"/>
      <c r="G209" s="119">
        <f t="shared" si="13"/>
        <v>10</v>
      </c>
      <c r="H209" s="167">
        <f t="shared" si="13"/>
        <v>10</v>
      </c>
    </row>
    <row r="210" spans="1:8" ht="31.5">
      <c r="A210" s="123" t="s">
        <v>209</v>
      </c>
      <c r="B210" s="68" t="s">
        <v>140</v>
      </c>
      <c r="C210" s="68" t="s">
        <v>156</v>
      </c>
      <c r="D210" s="68" t="s">
        <v>156</v>
      </c>
      <c r="E210" s="139" t="s">
        <v>1265</v>
      </c>
      <c r="F210" s="120" t="s">
        <v>312</v>
      </c>
      <c r="G210" s="119">
        <v>10</v>
      </c>
      <c r="H210" s="167">
        <v>10</v>
      </c>
    </row>
    <row r="211" spans="1:8" s="62" customFormat="1">
      <c r="A211" s="52" t="s">
        <v>304</v>
      </c>
      <c r="B211" s="88" t="s">
        <v>140</v>
      </c>
      <c r="C211" s="88" t="s">
        <v>157</v>
      </c>
      <c r="D211" s="88"/>
      <c r="E211" s="88"/>
      <c r="F211" s="88"/>
      <c r="G211" s="76">
        <f>G212+G214+G226+G234</f>
        <v>9644.9</v>
      </c>
      <c r="H211" s="76">
        <f>H212+H214+H234+H226</f>
        <v>9604.9</v>
      </c>
    </row>
    <row r="212" spans="1:8" s="64" customFormat="1">
      <c r="A212" s="51" t="s">
        <v>168</v>
      </c>
      <c r="B212" s="205" t="s">
        <v>140</v>
      </c>
      <c r="C212" s="205" t="s">
        <v>157</v>
      </c>
      <c r="D212" s="205" t="s">
        <v>152</v>
      </c>
      <c r="E212" s="88"/>
      <c r="F212" s="205"/>
      <c r="G212" s="79">
        <f>G213</f>
        <v>5100</v>
      </c>
      <c r="H212" s="79">
        <f>H213</f>
        <v>5100</v>
      </c>
    </row>
    <row r="213" spans="1:8" ht="38.25" customHeight="1">
      <c r="A213" s="48" t="s">
        <v>340</v>
      </c>
      <c r="B213" s="68">
        <v>934</v>
      </c>
      <c r="C213" s="68" t="s">
        <v>157</v>
      </c>
      <c r="D213" s="68" t="s">
        <v>152</v>
      </c>
      <c r="E213" s="68" t="s">
        <v>396</v>
      </c>
      <c r="F213" s="68" t="s">
        <v>273</v>
      </c>
      <c r="G213" s="81">
        <v>5100</v>
      </c>
      <c r="H213" s="81">
        <v>5100</v>
      </c>
    </row>
    <row r="214" spans="1:8">
      <c r="A214" s="51" t="s">
        <v>302</v>
      </c>
      <c r="B214" s="78">
        <v>934</v>
      </c>
      <c r="C214" s="78" t="s">
        <v>157</v>
      </c>
      <c r="D214" s="78" t="s">
        <v>155</v>
      </c>
      <c r="E214" s="480"/>
      <c r="F214" s="78"/>
      <c r="G214" s="79">
        <f>G218+G215+G223</f>
        <v>855.5</v>
      </c>
      <c r="H214" s="79">
        <f>H218+H215+H223</f>
        <v>815.5</v>
      </c>
    </row>
    <row r="215" spans="1:8" ht="39" customHeight="1">
      <c r="A215" s="156" t="s">
        <v>1130</v>
      </c>
      <c r="B215" s="144" t="s">
        <v>140</v>
      </c>
      <c r="C215" s="144" t="s">
        <v>157</v>
      </c>
      <c r="D215" s="144" t="s">
        <v>155</v>
      </c>
      <c r="E215" s="153" t="s">
        <v>626</v>
      </c>
      <c r="F215" s="143"/>
      <c r="G215" s="146">
        <f t="shared" ref="G215:H216" si="14">G216</f>
        <v>40</v>
      </c>
      <c r="H215" s="146">
        <f t="shared" si="14"/>
        <v>0</v>
      </c>
    </row>
    <row r="216" spans="1:8">
      <c r="A216" s="156" t="s">
        <v>648</v>
      </c>
      <c r="B216" s="144" t="s">
        <v>140</v>
      </c>
      <c r="C216" s="144" t="s">
        <v>157</v>
      </c>
      <c r="D216" s="144" t="s">
        <v>155</v>
      </c>
      <c r="E216" s="153" t="s">
        <v>627</v>
      </c>
      <c r="F216" s="143"/>
      <c r="G216" s="146">
        <f t="shared" si="14"/>
        <v>40</v>
      </c>
      <c r="H216" s="146">
        <f t="shared" si="14"/>
        <v>0</v>
      </c>
    </row>
    <row r="217" spans="1:8" ht="38.25" customHeight="1">
      <c r="A217" s="175" t="s">
        <v>209</v>
      </c>
      <c r="B217" s="172" t="s">
        <v>140</v>
      </c>
      <c r="C217" s="89" t="s">
        <v>157</v>
      </c>
      <c r="D217" s="89" t="s">
        <v>155</v>
      </c>
      <c r="E217" s="172" t="s">
        <v>628</v>
      </c>
      <c r="F217" s="276">
        <v>244</v>
      </c>
      <c r="G217" s="167">
        <v>40</v>
      </c>
      <c r="H217" s="79">
        <v>0</v>
      </c>
    </row>
    <row r="218" spans="1:8" ht="31.5">
      <c r="A218" s="142" t="s">
        <v>1127</v>
      </c>
      <c r="B218" s="143">
        <v>934</v>
      </c>
      <c r="C218" s="144" t="s">
        <v>157</v>
      </c>
      <c r="D218" s="144" t="s">
        <v>155</v>
      </c>
      <c r="E218" s="144" t="s">
        <v>404</v>
      </c>
      <c r="F218" s="513"/>
      <c r="G218" s="162">
        <f t="shared" ref="G218:H219" si="15">G219</f>
        <v>587</v>
      </c>
      <c r="H218" s="162">
        <f t="shared" si="15"/>
        <v>587</v>
      </c>
    </row>
    <row r="219" spans="1:8" ht="90" customHeight="1">
      <c r="A219" s="142" t="s">
        <v>645</v>
      </c>
      <c r="B219" s="143">
        <v>934</v>
      </c>
      <c r="C219" s="144" t="s">
        <v>157</v>
      </c>
      <c r="D219" s="144" t="s">
        <v>155</v>
      </c>
      <c r="E219" s="144" t="s">
        <v>404</v>
      </c>
      <c r="F219" s="513"/>
      <c r="G219" s="162">
        <f t="shared" si="15"/>
        <v>587</v>
      </c>
      <c r="H219" s="162">
        <f t="shared" si="15"/>
        <v>587</v>
      </c>
    </row>
    <row r="220" spans="1:8" ht="204.75">
      <c r="A220" s="247" t="s">
        <v>525</v>
      </c>
      <c r="B220" s="67">
        <v>934</v>
      </c>
      <c r="C220" s="87" t="s">
        <v>157</v>
      </c>
      <c r="D220" s="87" t="s">
        <v>155</v>
      </c>
      <c r="E220" s="67" t="s">
        <v>327</v>
      </c>
      <c r="F220" s="87"/>
      <c r="G220" s="80">
        <f>G221+G222</f>
        <v>587</v>
      </c>
      <c r="H220" s="80">
        <f>H221+H222</f>
        <v>587</v>
      </c>
    </row>
    <row r="221" spans="1:8">
      <c r="A221" s="48" t="s">
        <v>205</v>
      </c>
      <c r="B221" s="68">
        <v>934</v>
      </c>
      <c r="C221" s="89" t="s">
        <v>157</v>
      </c>
      <c r="D221" s="89" t="s">
        <v>155</v>
      </c>
      <c r="E221" s="68" t="s">
        <v>327</v>
      </c>
      <c r="F221" s="89" t="s">
        <v>202</v>
      </c>
      <c r="G221" s="81">
        <v>384</v>
      </c>
      <c r="H221" s="81">
        <f>G221</f>
        <v>384</v>
      </c>
    </row>
    <row r="222" spans="1:8">
      <c r="A222" s="48" t="s">
        <v>269</v>
      </c>
      <c r="B222" s="68">
        <v>934</v>
      </c>
      <c r="C222" s="89" t="s">
        <v>157</v>
      </c>
      <c r="D222" s="89" t="s">
        <v>155</v>
      </c>
      <c r="E222" s="68" t="s">
        <v>327</v>
      </c>
      <c r="F222" s="89" t="s">
        <v>270</v>
      </c>
      <c r="G222" s="81">
        <v>203</v>
      </c>
      <c r="H222" s="81">
        <f>G222</f>
        <v>203</v>
      </c>
    </row>
    <row r="223" spans="1:8" ht="31.5">
      <c r="A223" s="157" t="s">
        <v>1113</v>
      </c>
      <c r="B223" s="155" t="s">
        <v>140</v>
      </c>
      <c r="C223" s="512" t="s">
        <v>157</v>
      </c>
      <c r="D223" s="512" t="s">
        <v>155</v>
      </c>
      <c r="E223" s="155" t="s">
        <v>732</v>
      </c>
      <c r="F223" s="512"/>
      <c r="G223" s="163">
        <f t="shared" ref="G223:H224" si="16">G224</f>
        <v>228.5</v>
      </c>
      <c r="H223" s="163">
        <f t="shared" si="16"/>
        <v>228.5</v>
      </c>
    </row>
    <row r="224" spans="1:8" ht="204.75">
      <c r="A224" s="247" t="s">
        <v>525</v>
      </c>
      <c r="B224" s="172" t="s">
        <v>140</v>
      </c>
      <c r="C224" s="89" t="s">
        <v>157</v>
      </c>
      <c r="D224" s="89" t="s">
        <v>155</v>
      </c>
      <c r="E224" s="68" t="s">
        <v>732</v>
      </c>
      <c r="F224" s="89"/>
      <c r="G224" s="81">
        <f t="shared" si="16"/>
        <v>228.5</v>
      </c>
      <c r="H224" s="81">
        <f t="shared" si="16"/>
        <v>228.5</v>
      </c>
    </row>
    <row r="225" spans="1:8">
      <c r="A225" s="48" t="s">
        <v>269</v>
      </c>
      <c r="B225" s="172" t="s">
        <v>140</v>
      </c>
      <c r="C225" s="89" t="s">
        <v>157</v>
      </c>
      <c r="D225" s="89" t="s">
        <v>155</v>
      </c>
      <c r="E225" s="68" t="s">
        <v>732</v>
      </c>
      <c r="F225" s="89" t="s">
        <v>270</v>
      </c>
      <c r="G225" s="81">
        <v>228.5</v>
      </c>
      <c r="H225" s="81">
        <f>G225</f>
        <v>228.5</v>
      </c>
    </row>
    <row r="226" spans="1:8">
      <c r="A226" s="51" t="s">
        <v>789</v>
      </c>
      <c r="B226" s="78">
        <v>934</v>
      </c>
      <c r="C226" s="78" t="s">
        <v>157</v>
      </c>
      <c r="D226" s="78" t="s">
        <v>161</v>
      </c>
      <c r="E226" s="78"/>
      <c r="F226" s="78"/>
      <c r="G226" s="79">
        <f>G227</f>
        <v>400</v>
      </c>
      <c r="H226" s="79">
        <f>H227</f>
        <v>400</v>
      </c>
    </row>
    <row r="227" spans="1:8" ht="31.5">
      <c r="A227" s="142" t="s">
        <v>1106</v>
      </c>
      <c r="B227" s="143">
        <v>934</v>
      </c>
      <c r="C227" s="144" t="s">
        <v>157</v>
      </c>
      <c r="D227" s="144" t="s">
        <v>161</v>
      </c>
      <c r="E227" s="160" t="s">
        <v>425</v>
      </c>
      <c r="F227" s="144"/>
      <c r="G227" s="162">
        <f t="shared" ref="G227:H228" si="17">G228</f>
        <v>400</v>
      </c>
      <c r="H227" s="162">
        <f>H228</f>
        <v>400</v>
      </c>
    </row>
    <row r="228" spans="1:8" ht="47.25">
      <c r="A228" s="147" t="s">
        <v>1131</v>
      </c>
      <c r="B228" s="148">
        <v>934</v>
      </c>
      <c r="C228" s="149" t="s">
        <v>157</v>
      </c>
      <c r="D228" s="149" t="s">
        <v>161</v>
      </c>
      <c r="E228" s="155" t="s">
        <v>624</v>
      </c>
      <c r="F228" s="149"/>
      <c r="G228" s="150">
        <f t="shared" si="17"/>
        <v>400</v>
      </c>
      <c r="H228" s="150">
        <f t="shared" si="17"/>
        <v>400</v>
      </c>
    </row>
    <row r="229" spans="1:8" ht="31.5">
      <c r="A229" s="196" t="s">
        <v>623</v>
      </c>
      <c r="B229" s="275">
        <v>934</v>
      </c>
      <c r="C229" s="168" t="s">
        <v>157</v>
      </c>
      <c r="D229" s="168" t="s">
        <v>161</v>
      </c>
      <c r="E229" s="172" t="s">
        <v>624</v>
      </c>
      <c r="F229" s="168"/>
      <c r="G229" s="169">
        <f>G230+G232</f>
        <v>400</v>
      </c>
      <c r="H229" s="169">
        <f>H230+H232</f>
        <v>400</v>
      </c>
    </row>
    <row r="230" spans="1:8" ht="31.5">
      <c r="A230" s="186" t="s">
        <v>517</v>
      </c>
      <c r="B230" s="70">
        <v>934</v>
      </c>
      <c r="C230" s="120" t="s">
        <v>157</v>
      </c>
      <c r="D230" s="120" t="s">
        <v>161</v>
      </c>
      <c r="E230" s="120" t="s">
        <v>424</v>
      </c>
      <c r="F230" s="168"/>
      <c r="G230" s="169">
        <f>G231</f>
        <v>0</v>
      </c>
      <c r="H230" s="169">
        <f>H231</f>
        <v>0</v>
      </c>
    </row>
    <row r="231" spans="1:8">
      <c r="A231" s="48" t="s">
        <v>263</v>
      </c>
      <c r="B231" s="70">
        <v>934</v>
      </c>
      <c r="C231" s="120" t="s">
        <v>157</v>
      </c>
      <c r="D231" s="120" t="s">
        <v>161</v>
      </c>
      <c r="E231" s="120" t="s">
        <v>424</v>
      </c>
      <c r="F231" s="68" t="s">
        <v>262</v>
      </c>
      <c r="G231" s="167"/>
      <c r="H231" s="169">
        <f>G231</f>
        <v>0</v>
      </c>
    </row>
    <row r="232" spans="1:8" ht="47.25">
      <c r="A232" s="186" t="s">
        <v>518</v>
      </c>
      <c r="B232" s="70">
        <v>934</v>
      </c>
      <c r="C232" s="129" t="s">
        <v>157</v>
      </c>
      <c r="D232" s="129" t="s">
        <v>161</v>
      </c>
      <c r="E232" s="120" t="s">
        <v>424</v>
      </c>
      <c r="F232" s="68"/>
      <c r="G232" s="167">
        <f>G233</f>
        <v>400</v>
      </c>
      <c r="H232" s="169">
        <f>H233</f>
        <v>400</v>
      </c>
    </row>
    <row r="233" spans="1:8">
      <c r="A233" s="48" t="s">
        <v>263</v>
      </c>
      <c r="B233" s="70">
        <v>934</v>
      </c>
      <c r="C233" s="129" t="s">
        <v>157</v>
      </c>
      <c r="D233" s="129" t="s">
        <v>161</v>
      </c>
      <c r="E233" s="120" t="s">
        <v>424</v>
      </c>
      <c r="F233" s="68" t="s">
        <v>262</v>
      </c>
      <c r="G233" s="81">
        <v>400</v>
      </c>
      <c r="H233" s="81">
        <v>400</v>
      </c>
    </row>
    <row r="234" spans="1:8" s="64" customFormat="1">
      <c r="A234" s="51" t="s">
        <v>303</v>
      </c>
      <c r="B234" s="78">
        <v>934</v>
      </c>
      <c r="C234" s="78" t="s">
        <v>157</v>
      </c>
      <c r="D234" s="78" t="s">
        <v>158</v>
      </c>
      <c r="E234" s="75"/>
      <c r="F234" s="78"/>
      <c r="G234" s="79">
        <f>G235</f>
        <v>3289.3999999999996</v>
      </c>
      <c r="H234" s="79">
        <f>H235</f>
        <v>3289.3999999999996</v>
      </c>
    </row>
    <row r="235" spans="1:8">
      <c r="A235" s="496" t="s">
        <v>359</v>
      </c>
      <c r="B235" s="515" t="s">
        <v>140</v>
      </c>
      <c r="C235" s="634">
        <v>10</v>
      </c>
      <c r="D235" s="515" t="s">
        <v>158</v>
      </c>
      <c r="E235" s="515" t="s">
        <v>978</v>
      </c>
      <c r="F235" s="152"/>
      <c r="G235" s="154">
        <f>G236+G241+G246</f>
        <v>3289.3999999999996</v>
      </c>
      <c r="H235" s="154">
        <f>H236+H241+H246</f>
        <v>3289.3999999999996</v>
      </c>
    </row>
    <row r="236" spans="1:8" ht="47.25">
      <c r="A236" s="128" t="s">
        <v>124</v>
      </c>
      <c r="B236" s="120">
        <v>934</v>
      </c>
      <c r="C236" s="129" t="s">
        <v>157</v>
      </c>
      <c r="D236" s="129" t="s">
        <v>158</v>
      </c>
      <c r="E236" s="129" t="s">
        <v>979</v>
      </c>
      <c r="F236" s="129"/>
      <c r="G236" s="93">
        <f>G237+G238+G239+G240</f>
        <v>1078.6999999999998</v>
      </c>
      <c r="H236" s="93">
        <f>H237+H238+H239+H240</f>
        <v>1078.6999999999998</v>
      </c>
    </row>
    <row r="237" spans="1:8">
      <c r="A237" s="48" t="s">
        <v>324</v>
      </c>
      <c r="B237" s="68">
        <v>934</v>
      </c>
      <c r="C237" s="68" t="s">
        <v>157</v>
      </c>
      <c r="D237" s="68" t="s">
        <v>158</v>
      </c>
      <c r="E237" s="129" t="s">
        <v>979</v>
      </c>
      <c r="F237" s="68" t="s">
        <v>311</v>
      </c>
      <c r="G237" s="81">
        <f>968.42739+92.39631+91.39903-414.20891</f>
        <v>738.0138199999999</v>
      </c>
      <c r="H237" s="81">
        <f>968.42739+92.39631+91.39903-414.20891</f>
        <v>738.0138199999999</v>
      </c>
    </row>
    <row r="238" spans="1:8" ht="31.5">
      <c r="A238" s="48" t="s">
        <v>6</v>
      </c>
      <c r="B238" s="68">
        <v>934</v>
      </c>
      <c r="C238" s="68" t="s">
        <v>157</v>
      </c>
      <c r="D238" s="68" t="s">
        <v>158</v>
      </c>
      <c r="E238" s="129" t="s">
        <v>979</v>
      </c>
      <c r="F238" s="68" t="s">
        <v>316</v>
      </c>
      <c r="G238" s="81">
        <f>34.756+2.8+12.6</f>
        <v>50.155999999999999</v>
      </c>
      <c r="H238" s="81">
        <f>34.756+2.8+12.6</f>
        <v>50.155999999999999</v>
      </c>
    </row>
    <row r="239" spans="1:8" ht="47.25">
      <c r="A239" s="164" t="s">
        <v>325</v>
      </c>
      <c r="B239" s="68">
        <v>934</v>
      </c>
      <c r="C239" s="68" t="s">
        <v>157</v>
      </c>
      <c r="D239" s="68" t="s">
        <v>158</v>
      </c>
      <c r="E239" s="129" t="s">
        <v>979</v>
      </c>
      <c r="F239" s="68" t="s">
        <v>326</v>
      </c>
      <c r="G239" s="81">
        <f>292.46661+27.90369+27.60097-125.09109</f>
        <v>222.88018</v>
      </c>
      <c r="H239" s="81">
        <f>292.46661+27.90369+27.60097-125.09109</f>
        <v>222.88018</v>
      </c>
    </row>
    <row r="240" spans="1:8" ht="31.5">
      <c r="A240" s="123" t="s">
        <v>209</v>
      </c>
      <c r="B240" s="68">
        <v>934</v>
      </c>
      <c r="C240" s="68" t="s">
        <v>157</v>
      </c>
      <c r="D240" s="68" t="s">
        <v>158</v>
      </c>
      <c r="E240" s="129" t="s">
        <v>979</v>
      </c>
      <c r="F240" s="68" t="s">
        <v>312</v>
      </c>
      <c r="G240" s="81">
        <f>117.806-34.756-2.8-12.6</f>
        <v>67.650000000000006</v>
      </c>
      <c r="H240" s="81">
        <f>117.806-34.756-2.8-12.6</f>
        <v>67.650000000000006</v>
      </c>
    </row>
    <row r="241" spans="1:8" ht="47.25">
      <c r="A241" s="49" t="s">
        <v>123</v>
      </c>
      <c r="B241" s="68">
        <v>934</v>
      </c>
      <c r="C241" s="67" t="s">
        <v>157</v>
      </c>
      <c r="D241" s="67" t="s">
        <v>158</v>
      </c>
      <c r="E241" s="67" t="s">
        <v>980</v>
      </c>
      <c r="F241" s="67"/>
      <c r="G241" s="80">
        <f>G242+G243+G244+G245</f>
        <v>2157.2999999999997</v>
      </c>
      <c r="H241" s="80">
        <f>H242+H243+H244+H245</f>
        <v>2157.2999999999997</v>
      </c>
    </row>
    <row r="242" spans="1:8">
      <c r="A242" s="48" t="s">
        <v>324</v>
      </c>
      <c r="B242" s="68">
        <v>934</v>
      </c>
      <c r="C242" s="68" t="s">
        <v>157</v>
      </c>
      <c r="D242" s="68" t="s">
        <v>158</v>
      </c>
      <c r="E242" s="67" t="s">
        <v>980</v>
      </c>
      <c r="F242" s="68" t="s">
        <v>311</v>
      </c>
      <c r="G242" s="81">
        <f>859.6005+37.02+26.88172+92.39631+191.89717+191.82027+121.88941</f>
        <v>1521.5053799999998</v>
      </c>
      <c r="H242" s="81">
        <f>859.6005+37.02+26.88172+92.39631+191.89717+191.82027+121.88941</f>
        <v>1521.5053799999998</v>
      </c>
    </row>
    <row r="243" spans="1:8" ht="31.5">
      <c r="A243" s="48" t="s">
        <v>6</v>
      </c>
      <c r="B243" s="68">
        <v>934</v>
      </c>
      <c r="C243" s="68" t="s">
        <v>157</v>
      </c>
      <c r="D243" s="68" t="s">
        <v>158</v>
      </c>
      <c r="E243" s="67" t="s">
        <v>980</v>
      </c>
      <c r="F243" s="68" t="s">
        <v>316</v>
      </c>
      <c r="G243" s="81">
        <v>24.2</v>
      </c>
      <c r="H243" s="81">
        <v>24.2</v>
      </c>
    </row>
    <row r="244" spans="1:8" ht="47.25">
      <c r="A244" s="164" t="s">
        <v>325</v>
      </c>
      <c r="B244" s="68">
        <v>934</v>
      </c>
      <c r="C244" s="68" t="s">
        <v>157</v>
      </c>
      <c r="D244" s="68" t="s">
        <v>158</v>
      </c>
      <c r="E244" s="67" t="s">
        <v>980</v>
      </c>
      <c r="F244" s="68" t="s">
        <v>326</v>
      </c>
      <c r="G244" s="81">
        <f>259.5995+11.18+8.11828+27.90369+57.95283+57.92973+36.81059</f>
        <v>459.49462</v>
      </c>
      <c r="H244" s="81">
        <f>259.5995+11.18+8.11828+27.90369+57.95283+57.92973+36.81059</f>
        <v>459.49462</v>
      </c>
    </row>
    <row r="245" spans="1:8" ht="31.5">
      <c r="A245" s="123" t="s">
        <v>209</v>
      </c>
      <c r="B245" s="68">
        <v>934</v>
      </c>
      <c r="C245" s="68" t="s">
        <v>157</v>
      </c>
      <c r="D245" s="68" t="s">
        <v>158</v>
      </c>
      <c r="E245" s="67" t="s">
        <v>980</v>
      </c>
      <c r="F245" s="68" t="s">
        <v>312</v>
      </c>
      <c r="G245" s="81">
        <v>152.1</v>
      </c>
      <c r="H245" s="81">
        <v>152.1</v>
      </c>
    </row>
    <row r="246" spans="1:8" ht="63">
      <c r="A246" s="123" t="s">
        <v>754</v>
      </c>
      <c r="B246" s="68">
        <v>934</v>
      </c>
      <c r="C246" s="68" t="s">
        <v>157</v>
      </c>
      <c r="D246" s="68" t="s">
        <v>158</v>
      </c>
      <c r="E246" s="68" t="s">
        <v>981</v>
      </c>
      <c r="F246" s="68"/>
      <c r="G246" s="81">
        <f>G247+G248+G249</f>
        <v>53.4</v>
      </c>
      <c r="H246" s="81">
        <f>H247+H248+H249</f>
        <v>53.4</v>
      </c>
    </row>
    <row r="247" spans="1:8">
      <c r="A247" s="48" t="s">
        <v>324</v>
      </c>
      <c r="B247" s="68">
        <v>934</v>
      </c>
      <c r="C247" s="68" t="s">
        <v>157</v>
      </c>
      <c r="D247" s="68" t="s">
        <v>158</v>
      </c>
      <c r="E247" s="68" t="s">
        <v>981</v>
      </c>
      <c r="F247" s="68" t="s">
        <v>311</v>
      </c>
      <c r="G247" s="81">
        <f>64.28571-11.64164-10.44547-12.82642</f>
        <v>29.372179999999993</v>
      </c>
      <c r="H247" s="81">
        <f>64.28571-11.64164-10.44547-12.82642</f>
        <v>29.372179999999993</v>
      </c>
    </row>
    <row r="248" spans="1:8" ht="47.25">
      <c r="A248" s="164" t="s">
        <v>325</v>
      </c>
      <c r="B248" s="68">
        <v>934</v>
      </c>
      <c r="C248" s="68" t="s">
        <v>157</v>
      </c>
      <c r="D248" s="68" t="s">
        <v>158</v>
      </c>
      <c r="E248" s="68" t="s">
        <v>981</v>
      </c>
      <c r="F248" s="68" t="s">
        <v>326</v>
      </c>
      <c r="G248" s="81">
        <f>19.41429-3.51578-3.15453-3.87358</f>
        <v>8.8704000000000018</v>
      </c>
      <c r="H248" s="81">
        <f>19.41429-3.51578-3.15453-3.87358</f>
        <v>8.8704000000000018</v>
      </c>
    </row>
    <row r="249" spans="1:8" ht="31.5">
      <c r="A249" s="123" t="s">
        <v>209</v>
      </c>
      <c r="B249" s="68">
        <v>934</v>
      </c>
      <c r="C249" s="68" t="s">
        <v>157</v>
      </c>
      <c r="D249" s="68" t="s">
        <v>158</v>
      </c>
      <c r="E249" s="68" t="s">
        <v>981</v>
      </c>
      <c r="F249" s="68" t="s">
        <v>312</v>
      </c>
      <c r="G249" s="81">
        <v>15.15742</v>
      </c>
      <c r="H249" s="81">
        <v>15.15742</v>
      </c>
    </row>
    <row r="250" spans="1:8">
      <c r="A250" s="52" t="s">
        <v>301</v>
      </c>
      <c r="B250" s="75">
        <v>934</v>
      </c>
      <c r="C250" s="75" t="s">
        <v>160</v>
      </c>
      <c r="D250" s="75"/>
      <c r="E250" s="75"/>
      <c r="F250" s="75"/>
      <c r="G250" s="76">
        <f>G251+G258+G270</f>
        <v>38549.985999999997</v>
      </c>
      <c r="H250" s="76">
        <f>H251+H258+H270</f>
        <v>38549.985999999997</v>
      </c>
    </row>
    <row r="251" spans="1:8">
      <c r="A251" s="51" t="s">
        <v>264</v>
      </c>
      <c r="B251" s="78">
        <v>934</v>
      </c>
      <c r="C251" s="78" t="s">
        <v>160</v>
      </c>
      <c r="D251" s="75" t="s">
        <v>152</v>
      </c>
      <c r="E251" s="306"/>
      <c r="F251" s="75"/>
      <c r="G251" s="76">
        <f>G252</f>
        <v>1200</v>
      </c>
      <c r="H251" s="76">
        <f>H252</f>
        <v>1200</v>
      </c>
    </row>
    <row r="252" spans="1:8" ht="31.5">
      <c r="A252" s="142" t="s">
        <v>1113</v>
      </c>
      <c r="B252" s="153" t="s">
        <v>140</v>
      </c>
      <c r="C252" s="144" t="s">
        <v>160</v>
      </c>
      <c r="D252" s="144" t="s">
        <v>152</v>
      </c>
      <c r="E252" s="144" t="s">
        <v>428</v>
      </c>
      <c r="F252" s="144"/>
      <c r="G252" s="146">
        <f t="shared" ref="G252:H252" si="18">G253</f>
        <v>1200</v>
      </c>
      <c r="H252" s="146">
        <f t="shared" si="18"/>
        <v>1200</v>
      </c>
    </row>
    <row r="253" spans="1:8" ht="31.5">
      <c r="A253" s="142" t="s">
        <v>649</v>
      </c>
      <c r="B253" s="153" t="s">
        <v>140</v>
      </c>
      <c r="C253" s="144" t="s">
        <v>160</v>
      </c>
      <c r="D253" s="144" t="s">
        <v>152</v>
      </c>
      <c r="E253" s="144" t="s">
        <v>428</v>
      </c>
      <c r="F253" s="144"/>
      <c r="G253" s="146">
        <f>G254+G255+G256+G257</f>
        <v>1200</v>
      </c>
      <c r="H253" s="146">
        <f>H254+H255+H256+H257</f>
        <v>1200</v>
      </c>
    </row>
    <row r="254" spans="1:8" ht="47.25">
      <c r="A254" s="173" t="s">
        <v>529</v>
      </c>
      <c r="B254" s="68">
        <v>934</v>
      </c>
      <c r="C254" s="68" t="s">
        <v>160</v>
      </c>
      <c r="D254" s="68" t="s">
        <v>152</v>
      </c>
      <c r="E254" s="120" t="s">
        <v>397</v>
      </c>
      <c r="F254" s="168" t="s">
        <v>528</v>
      </c>
      <c r="G254" s="169">
        <v>12</v>
      </c>
      <c r="H254" s="169">
        <v>12</v>
      </c>
    </row>
    <row r="255" spans="1:8" ht="31.5">
      <c r="A255" s="123" t="s">
        <v>209</v>
      </c>
      <c r="B255" s="68">
        <v>934</v>
      </c>
      <c r="C255" s="68" t="s">
        <v>160</v>
      </c>
      <c r="D255" s="68" t="s">
        <v>152</v>
      </c>
      <c r="E255" s="120" t="s">
        <v>397</v>
      </c>
      <c r="F255" s="68" t="s">
        <v>312</v>
      </c>
      <c r="G255" s="81">
        <v>300</v>
      </c>
      <c r="H255" s="81">
        <v>300</v>
      </c>
    </row>
    <row r="256" spans="1:8">
      <c r="A256" s="464" t="s">
        <v>494</v>
      </c>
      <c r="B256" s="68">
        <v>934</v>
      </c>
      <c r="C256" s="68" t="s">
        <v>160</v>
      </c>
      <c r="D256" s="68" t="s">
        <v>152</v>
      </c>
      <c r="E256" s="120" t="s">
        <v>397</v>
      </c>
      <c r="F256" s="68" t="s">
        <v>493</v>
      </c>
      <c r="G256" s="81">
        <v>888</v>
      </c>
      <c r="H256" s="81">
        <v>888</v>
      </c>
    </row>
    <row r="257" spans="1:8" hidden="1">
      <c r="A257" s="48" t="s">
        <v>130</v>
      </c>
      <c r="B257" s="68">
        <v>934</v>
      </c>
      <c r="C257" s="68" t="s">
        <v>160</v>
      </c>
      <c r="D257" s="68" t="s">
        <v>152</v>
      </c>
      <c r="E257" s="120" t="s">
        <v>397</v>
      </c>
      <c r="F257" s="68" t="s">
        <v>746</v>
      </c>
      <c r="G257" s="81">
        <v>0</v>
      </c>
      <c r="H257" s="81">
        <v>0</v>
      </c>
    </row>
    <row r="258" spans="1:8">
      <c r="A258" s="51" t="s">
        <v>198</v>
      </c>
      <c r="B258" s="75">
        <v>934</v>
      </c>
      <c r="C258" s="78" t="s">
        <v>160</v>
      </c>
      <c r="D258" s="78" t="s">
        <v>153</v>
      </c>
      <c r="E258" s="78"/>
      <c r="F258" s="78"/>
      <c r="G258" s="79">
        <f t="shared" ref="G258:H259" si="19">G259</f>
        <v>2320.9859999999999</v>
      </c>
      <c r="H258" s="79">
        <f t="shared" si="19"/>
        <v>2320.9859999999999</v>
      </c>
    </row>
    <row r="259" spans="1:8" ht="31.5">
      <c r="A259" s="142" t="s">
        <v>1113</v>
      </c>
      <c r="B259" s="153" t="s">
        <v>140</v>
      </c>
      <c r="C259" s="144" t="s">
        <v>160</v>
      </c>
      <c r="D259" s="144" t="s">
        <v>153</v>
      </c>
      <c r="E259" s="144" t="s">
        <v>428</v>
      </c>
      <c r="F259" s="78"/>
      <c r="G259" s="79">
        <f t="shared" si="19"/>
        <v>2320.9859999999999</v>
      </c>
      <c r="H259" s="79">
        <f t="shared" si="19"/>
        <v>2320.9859999999999</v>
      </c>
    </row>
    <row r="260" spans="1:8" ht="31.5">
      <c r="A260" s="142" t="s">
        <v>649</v>
      </c>
      <c r="B260" s="153" t="s">
        <v>140</v>
      </c>
      <c r="C260" s="144" t="s">
        <v>160</v>
      </c>
      <c r="D260" s="144" t="s">
        <v>153</v>
      </c>
      <c r="E260" s="144" t="s">
        <v>428</v>
      </c>
      <c r="F260" s="78"/>
      <c r="G260" s="79">
        <f>G261+G264+G267</f>
        <v>2320.9859999999999</v>
      </c>
      <c r="H260" s="79">
        <f>H261+H264+H267</f>
        <v>2320.9859999999999</v>
      </c>
    </row>
    <row r="261" spans="1:8">
      <c r="A261" s="49" t="s">
        <v>72</v>
      </c>
      <c r="B261" s="67">
        <v>934</v>
      </c>
      <c r="C261" s="67" t="s">
        <v>160</v>
      </c>
      <c r="D261" s="67" t="s">
        <v>153</v>
      </c>
      <c r="E261" s="67"/>
      <c r="F261" s="67"/>
      <c r="G261" s="81">
        <f>G262+G263</f>
        <v>2320.9859999999999</v>
      </c>
      <c r="H261" s="81">
        <f>H262+H263</f>
        <v>2320.9859999999999</v>
      </c>
    </row>
    <row r="262" spans="1:8">
      <c r="A262" s="48" t="s">
        <v>446</v>
      </c>
      <c r="B262" s="68" t="s">
        <v>140</v>
      </c>
      <c r="C262" s="68" t="s">
        <v>160</v>
      </c>
      <c r="D262" s="68" t="s">
        <v>153</v>
      </c>
      <c r="E262" s="68" t="s">
        <v>821</v>
      </c>
      <c r="F262" s="68" t="s">
        <v>332</v>
      </c>
      <c r="G262" s="81">
        <v>1782.6310000000001</v>
      </c>
      <c r="H262" s="81">
        <v>1782.6310000000001</v>
      </c>
    </row>
    <row r="263" spans="1:8" ht="31.5">
      <c r="A263" s="441" t="s">
        <v>447</v>
      </c>
      <c r="B263" s="68" t="s">
        <v>140</v>
      </c>
      <c r="C263" s="68" t="s">
        <v>160</v>
      </c>
      <c r="D263" s="68" t="s">
        <v>153</v>
      </c>
      <c r="E263" s="68" t="s">
        <v>821</v>
      </c>
      <c r="F263" s="68" t="s">
        <v>334</v>
      </c>
      <c r="G263" s="81">
        <v>538.35500000000002</v>
      </c>
      <c r="H263" s="81">
        <v>538.35500000000002</v>
      </c>
    </row>
    <row r="264" spans="1:8" ht="31.5" hidden="1">
      <c r="A264" s="49" t="s">
        <v>294</v>
      </c>
      <c r="B264" s="68">
        <v>934</v>
      </c>
      <c r="C264" s="67" t="s">
        <v>160</v>
      </c>
      <c r="D264" s="67" t="s">
        <v>153</v>
      </c>
      <c r="E264" s="67"/>
      <c r="F264" s="67"/>
      <c r="G264" s="80">
        <f>G265+G266</f>
        <v>0</v>
      </c>
      <c r="H264" s="80">
        <f>H265+H266</f>
        <v>0</v>
      </c>
    </row>
    <row r="265" spans="1:8" hidden="1">
      <c r="A265" s="48" t="s">
        <v>446</v>
      </c>
      <c r="B265" s="68">
        <v>934</v>
      </c>
      <c r="C265" s="68" t="s">
        <v>160</v>
      </c>
      <c r="D265" s="68" t="s">
        <v>153</v>
      </c>
      <c r="E265" s="68" t="s">
        <v>821</v>
      </c>
      <c r="F265" s="68" t="s">
        <v>332</v>
      </c>
      <c r="G265" s="81"/>
      <c r="H265" s="81"/>
    </row>
    <row r="266" spans="1:8" ht="31.5" hidden="1">
      <c r="A266" s="441" t="s">
        <v>447</v>
      </c>
      <c r="B266" s="68">
        <v>934</v>
      </c>
      <c r="C266" s="68" t="s">
        <v>160</v>
      </c>
      <c r="D266" s="68" t="s">
        <v>153</v>
      </c>
      <c r="E266" s="68" t="s">
        <v>821</v>
      </c>
      <c r="F266" s="68" t="s">
        <v>334</v>
      </c>
      <c r="G266" s="81"/>
      <c r="H266" s="81"/>
    </row>
    <row r="267" spans="1:8" ht="63" hidden="1">
      <c r="A267" s="46" t="s">
        <v>570</v>
      </c>
      <c r="B267" s="68" t="s">
        <v>140</v>
      </c>
      <c r="C267" s="68" t="s">
        <v>160</v>
      </c>
      <c r="D267" s="68" t="s">
        <v>153</v>
      </c>
      <c r="E267" s="68" t="s">
        <v>1000</v>
      </c>
      <c r="F267" s="68"/>
      <c r="G267" s="81">
        <f>G268+G269</f>
        <v>0</v>
      </c>
      <c r="H267" s="81">
        <f>H268+H269</f>
        <v>0</v>
      </c>
    </row>
    <row r="268" spans="1:8" hidden="1">
      <c r="A268" s="48" t="s">
        <v>446</v>
      </c>
      <c r="B268" s="68" t="s">
        <v>140</v>
      </c>
      <c r="C268" s="68" t="s">
        <v>160</v>
      </c>
      <c r="D268" s="68" t="s">
        <v>153</v>
      </c>
      <c r="E268" s="68" t="s">
        <v>1000</v>
      </c>
      <c r="F268" s="68" t="s">
        <v>332</v>
      </c>
      <c r="G268" s="81"/>
      <c r="H268" s="81"/>
    </row>
    <row r="269" spans="1:8" ht="31.5" hidden="1">
      <c r="A269" s="441" t="s">
        <v>447</v>
      </c>
      <c r="B269" s="68" t="s">
        <v>140</v>
      </c>
      <c r="C269" s="68" t="s">
        <v>160</v>
      </c>
      <c r="D269" s="68" t="s">
        <v>153</v>
      </c>
      <c r="E269" s="68" t="s">
        <v>1000</v>
      </c>
      <c r="F269" s="68" t="s">
        <v>334</v>
      </c>
      <c r="G269" s="81"/>
      <c r="H269" s="81"/>
    </row>
    <row r="270" spans="1:8">
      <c r="A270" s="486" t="s">
        <v>533</v>
      </c>
      <c r="B270" s="75">
        <v>934</v>
      </c>
      <c r="C270" s="75" t="s">
        <v>160</v>
      </c>
      <c r="D270" s="75" t="s">
        <v>155</v>
      </c>
      <c r="E270" s="271"/>
      <c r="F270" s="75"/>
      <c r="G270" s="76">
        <f>G271</f>
        <v>35029</v>
      </c>
      <c r="H270" s="76">
        <f>H271</f>
        <v>35029</v>
      </c>
    </row>
    <row r="271" spans="1:8" ht="31.5">
      <c r="A271" s="516" t="s">
        <v>1113</v>
      </c>
      <c r="B271" s="515" t="s">
        <v>140</v>
      </c>
      <c r="C271" s="152" t="s">
        <v>160</v>
      </c>
      <c r="D271" s="152" t="s">
        <v>155</v>
      </c>
      <c r="E271" s="152" t="s">
        <v>428</v>
      </c>
      <c r="F271" s="75"/>
      <c r="G271" s="76">
        <f t="shared" ref="G271:H271" si="20">G272</f>
        <v>35029</v>
      </c>
      <c r="H271" s="76">
        <f t="shared" si="20"/>
        <v>35029</v>
      </c>
    </row>
    <row r="272" spans="1:8" ht="31.5">
      <c r="A272" s="516" t="s">
        <v>649</v>
      </c>
      <c r="B272" s="515" t="s">
        <v>140</v>
      </c>
      <c r="C272" s="152" t="s">
        <v>160</v>
      </c>
      <c r="D272" s="152" t="s">
        <v>155</v>
      </c>
      <c r="E272" s="152" t="s">
        <v>428</v>
      </c>
      <c r="F272" s="75"/>
      <c r="G272" s="76">
        <f>G273+G277+G279+G275+G281</f>
        <v>35029</v>
      </c>
      <c r="H272" s="76">
        <f>H273+H277+H279+H275+H281</f>
        <v>35029</v>
      </c>
    </row>
    <row r="273" spans="1:8" ht="31.5">
      <c r="A273" s="610" t="s">
        <v>822</v>
      </c>
      <c r="B273" s="68" t="s">
        <v>140</v>
      </c>
      <c r="C273" s="68" t="s">
        <v>160</v>
      </c>
      <c r="D273" s="68" t="s">
        <v>155</v>
      </c>
      <c r="E273" s="120" t="s">
        <v>397</v>
      </c>
      <c r="F273" s="68"/>
      <c r="G273" s="81">
        <f>G274</f>
        <v>6200</v>
      </c>
      <c r="H273" s="81">
        <f>H274</f>
        <v>6200</v>
      </c>
    </row>
    <row r="274" spans="1:8">
      <c r="A274" s="48" t="s">
        <v>267</v>
      </c>
      <c r="B274" s="68">
        <v>934</v>
      </c>
      <c r="C274" s="68" t="s">
        <v>160</v>
      </c>
      <c r="D274" s="68" t="s">
        <v>155</v>
      </c>
      <c r="E274" s="120" t="s">
        <v>397</v>
      </c>
      <c r="F274" s="68" t="s">
        <v>320</v>
      </c>
      <c r="G274" s="81">
        <v>6200</v>
      </c>
      <c r="H274" s="81">
        <v>6200</v>
      </c>
    </row>
    <row r="275" spans="1:8" ht="63" hidden="1">
      <c r="A275" s="46" t="s">
        <v>570</v>
      </c>
      <c r="B275" s="68">
        <v>934</v>
      </c>
      <c r="C275" s="68" t="s">
        <v>160</v>
      </c>
      <c r="D275" s="68" t="s">
        <v>155</v>
      </c>
      <c r="E275" s="120" t="s">
        <v>1000</v>
      </c>
      <c r="F275" s="68"/>
      <c r="G275" s="81">
        <f>G276</f>
        <v>0</v>
      </c>
      <c r="H275" s="81">
        <f>H276</f>
        <v>0</v>
      </c>
    </row>
    <row r="276" spans="1:8" hidden="1">
      <c r="A276" s="48" t="s">
        <v>269</v>
      </c>
      <c r="B276" s="68">
        <v>934</v>
      </c>
      <c r="C276" s="68" t="s">
        <v>160</v>
      </c>
      <c r="D276" s="68" t="s">
        <v>155</v>
      </c>
      <c r="E276" s="120" t="s">
        <v>1000</v>
      </c>
      <c r="F276" s="68" t="s">
        <v>270</v>
      </c>
      <c r="G276" s="81"/>
      <c r="H276" s="81"/>
    </row>
    <row r="277" spans="1:8" ht="31.5">
      <c r="A277" s="49" t="s">
        <v>519</v>
      </c>
      <c r="B277" s="67">
        <v>934</v>
      </c>
      <c r="C277" s="67" t="s">
        <v>160</v>
      </c>
      <c r="D277" s="67" t="s">
        <v>155</v>
      </c>
      <c r="E277" s="476" t="s">
        <v>521</v>
      </c>
      <c r="F277" s="68"/>
      <c r="G277" s="81">
        <f>G278</f>
        <v>17305.400000000001</v>
      </c>
      <c r="H277" s="81">
        <f>H278</f>
        <v>17305.400000000001</v>
      </c>
    </row>
    <row r="278" spans="1:8">
      <c r="A278" s="48" t="s">
        <v>269</v>
      </c>
      <c r="B278" s="68">
        <v>934</v>
      </c>
      <c r="C278" s="68" t="s">
        <v>160</v>
      </c>
      <c r="D278" s="68" t="s">
        <v>155</v>
      </c>
      <c r="E278" s="477" t="s">
        <v>521</v>
      </c>
      <c r="F278" s="68" t="s">
        <v>270</v>
      </c>
      <c r="G278" s="81">
        <v>17305.400000000001</v>
      </c>
      <c r="H278" s="81">
        <v>17305.400000000001</v>
      </c>
    </row>
    <row r="279" spans="1:8" ht="31.5">
      <c r="A279" s="49" t="s">
        <v>526</v>
      </c>
      <c r="B279" s="67">
        <v>934</v>
      </c>
      <c r="C279" s="67" t="s">
        <v>160</v>
      </c>
      <c r="D279" s="68" t="s">
        <v>155</v>
      </c>
      <c r="E279" s="476" t="s">
        <v>521</v>
      </c>
      <c r="F279" s="67"/>
      <c r="G279" s="80">
        <f>G280</f>
        <v>8523.6</v>
      </c>
      <c r="H279" s="80">
        <f>H280</f>
        <v>8523.6</v>
      </c>
    </row>
    <row r="280" spans="1:8">
      <c r="A280" s="48" t="s">
        <v>269</v>
      </c>
      <c r="B280" s="68">
        <v>934</v>
      </c>
      <c r="C280" s="68" t="s">
        <v>160</v>
      </c>
      <c r="D280" s="68" t="s">
        <v>155</v>
      </c>
      <c r="E280" s="477" t="s">
        <v>521</v>
      </c>
      <c r="F280" s="68" t="s">
        <v>270</v>
      </c>
      <c r="G280" s="81">
        <f>5761.8+2761.8</f>
        <v>8523.6</v>
      </c>
      <c r="H280" s="81">
        <f>5761.8+2761.8</f>
        <v>8523.6</v>
      </c>
    </row>
    <row r="281" spans="1:8" ht="63">
      <c r="A281" s="46" t="s">
        <v>570</v>
      </c>
      <c r="B281" s="120" t="s">
        <v>82</v>
      </c>
      <c r="C281" s="120" t="s">
        <v>160</v>
      </c>
      <c r="D281" s="120" t="s">
        <v>155</v>
      </c>
      <c r="E281" s="120" t="s">
        <v>1249</v>
      </c>
      <c r="F281" s="68"/>
      <c r="G281" s="81">
        <f>G282</f>
        <v>3000</v>
      </c>
      <c r="H281" s="81">
        <f>H282</f>
        <v>3000</v>
      </c>
    </row>
    <row r="282" spans="1:8">
      <c r="A282" s="48" t="s">
        <v>269</v>
      </c>
      <c r="B282" s="120" t="s">
        <v>82</v>
      </c>
      <c r="C282" s="120" t="s">
        <v>160</v>
      </c>
      <c r="D282" s="120" t="s">
        <v>155</v>
      </c>
      <c r="E282" s="120" t="s">
        <v>1249</v>
      </c>
      <c r="F282" s="68" t="s">
        <v>270</v>
      </c>
      <c r="G282" s="81">
        <v>3000</v>
      </c>
      <c r="H282" s="81">
        <v>3000</v>
      </c>
    </row>
    <row r="283" spans="1:8" s="64" customFormat="1">
      <c r="A283" s="52" t="s">
        <v>265</v>
      </c>
      <c r="B283" s="75">
        <v>934</v>
      </c>
      <c r="C283" s="75" t="s">
        <v>159</v>
      </c>
      <c r="D283" s="75"/>
      <c r="E283" s="85"/>
      <c r="F283" s="75"/>
      <c r="G283" s="76">
        <f t="shared" ref="G283:H283" si="21">G284</f>
        <v>1600</v>
      </c>
      <c r="H283" s="76">
        <f t="shared" si="21"/>
        <v>1600</v>
      </c>
    </row>
    <row r="284" spans="1:8" s="63" customFormat="1">
      <c r="A284" s="51" t="s">
        <v>177</v>
      </c>
      <c r="B284" s="75">
        <v>934</v>
      </c>
      <c r="C284" s="78" t="s">
        <v>159</v>
      </c>
      <c r="D284" s="78" t="s">
        <v>153</v>
      </c>
      <c r="E284" s="75"/>
      <c r="F284" s="78"/>
      <c r="G284" s="79">
        <f t="shared" ref="G284:H287" si="22">G285</f>
        <v>1600</v>
      </c>
      <c r="H284" s="79">
        <f t="shared" si="22"/>
        <v>1600</v>
      </c>
    </row>
    <row r="285" spans="1:8" s="62" customFormat="1" ht="47.25">
      <c r="A285" s="516" t="s">
        <v>1104</v>
      </c>
      <c r="B285" s="153">
        <v>934</v>
      </c>
      <c r="C285" s="144" t="s">
        <v>159</v>
      </c>
      <c r="D285" s="144" t="s">
        <v>153</v>
      </c>
      <c r="E285" s="152" t="s">
        <v>398</v>
      </c>
      <c r="F285" s="152"/>
      <c r="G285" s="79">
        <f t="shared" si="22"/>
        <v>1600</v>
      </c>
      <c r="H285" s="79">
        <f t="shared" si="22"/>
        <v>1600</v>
      </c>
    </row>
    <row r="286" spans="1:8" s="62" customFormat="1" ht="31.5">
      <c r="A286" s="157" t="s">
        <v>693</v>
      </c>
      <c r="B286" s="155">
        <v>934</v>
      </c>
      <c r="C286" s="149" t="s">
        <v>159</v>
      </c>
      <c r="D286" s="149" t="s">
        <v>153</v>
      </c>
      <c r="E286" s="155" t="s">
        <v>818</v>
      </c>
      <c r="F286" s="149"/>
      <c r="G286" s="79">
        <f t="shared" si="22"/>
        <v>1600</v>
      </c>
      <c r="H286" s="79">
        <f t="shared" si="22"/>
        <v>1600</v>
      </c>
    </row>
    <row r="287" spans="1:8" s="63" customFormat="1" ht="51" customHeight="1">
      <c r="A287" s="186" t="s">
        <v>694</v>
      </c>
      <c r="B287" s="120" t="s">
        <v>140</v>
      </c>
      <c r="C287" s="129" t="s">
        <v>159</v>
      </c>
      <c r="D287" s="129" t="s">
        <v>153</v>
      </c>
      <c r="E287" s="120" t="s">
        <v>385</v>
      </c>
      <c r="F287" s="129"/>
      <c r="G287" s="81">
        <f t="shared" si="22"/>
        <v>1600</v>
      </c>
      <c r="H287" s="81">
        <f t="shared" si="22"/>
        <v>1600</v>
      </c>
    </row>
    <row r="288" spans="1:8" ht="47.25">
      <c r="A288" s="48" t="s">
        <v>268</v>
      </c>
      <c r="B288" s="68">
        <v>934</v>
      </c>
      <c r="C288" s="68" t="s">
        <v>159</v>
      </c>
      <c r="D288" s="68" t="s">
        <v>153</v>
      </c>
      <c r="E288" s="68" t="s">
        <v>385</v>
      </c>
      <c r="F288" s="68" t="s">
        <v>320</v>
      </c>
      <c r="G288" s="81">
        <v>1600</v>
      </c>
      <c r="H288" s="81">
        <v>1600</v>
      </c>
    </row>
    <row r="289" spans="1:8" ht="31.5">
      <c r="A289" s="52" t="s">
        <v>108</v>
      </c>
      <c r="B289" s="75">
        <v>934</v>
      </c>
      <c r="C289" s="75" t="s">
        <v>165</v>
      </c>
      <c r="D289" s="75"/>
      <c r="E289" s="75"/>
      <c r="F289" s="75"/>
      <c r="G289" s="76">
        <f>G290</f>
        <v>5811.6135999999997</v>
      </c>
      <c r="H289" s="76">
        <f>H290</f>
        <v>1159.7116000000001</v>
      </c>
    </row>
    <row r="290" spans="1:8" s="64" customFormat="1">
      <c r="A290" s="51" t="s">
        <v>46</v>
      </c>
      <c r="B290" s="78" t="s">
        <v>140</v>
      </c>
      <c r="C290" s="78" t="s">
        <v>165</v>
      </c>
      <c r="D290" s="78" t="s">
        <v>155</v>
      </c>
      <c r="E290" s="75"/>
      <c r="F290" s="78"/>
      <c r="G290" s="79">
        <f>G291+G293+G298+G301</f>
        <v>5811.6135999999997</v>
      </c>
      <c r="H290" s="79">
        <f>H291+H293+H298+H301</f>
        <v>1159.7116000000001</v>
      </c>
    </row>
    <row r="291" spans="1:8" s="64" customFormat="1" ht="31.5">
      <c r="A291" s="496" t="s">
        <v>949</v>
      </c>
      <c r="B291" s="633">
        <v>934</v>
      </c>
      <c r="C291" s="633">
        <v>14</v>
      </c>
      <c r="D291" s="515" t="s">
        <v>155</v>
      </c>
      <c r="E291" s="636" t="s">
        <v>550</v>
      </c>
      <c r="F291" s="638"/>
      <c r="G291" s="639">
        <f>G292</f>
        <v>4236.8519999999999</v>
      </c>
      <c r="H291" s="377">
        <f>H292</f>
        <v>0</v>
      </c>
    </row>
    <row r="292" spans="1:8" s="64" customFormat="1">
      <c r="A292" s="409" t="s">
        <v>310</v>
      </c>
      <c r="B292" s="70">
        <v>934</v>
      </c>
      <c r="C292" s="70">
        <v>14</v>
      </c>
      <c r="D292" s="68" t="s">
        <v>155</v>
      </c>
      <c r="E292" s="508" t="s">
        <v>550</v>
      </c>
      <c r="F292" s="383">
        <v>540</v>
      </c>
      <c r="G292" s="432">
        <v>4236.8519999999999</v>
      </c>
      <c r="H292" s="81">
        <v>0</v>
      </c>
    </row>
    <row r="293" spans="1:8" s="63" customFormat="1" ht="31.5">
      <c r="A293" s="516" t="s">
        <v>940</v>
      </c>
      <c r="B293" s="633">
        <v>934</v>
      </c>
      <c r="C293" s="633">
        <v>14</v>
      </c>
      <c r="D293" s="515" t="s">
        <v>155</v>
      </c>
      <c r="E293" s="683" t="s">
        <v>941</v>
      </c>
      <c r="F293" s="638"/>
      <c r="G293" s="639">
        <f>G294+G296</f>
        <v>205.05</v>
      </c>
      <c r="H293" s="639">
        <f>H294+H296</f>
        <v>0</v>
      </c>
    </row>
    <row r="294" spans="1:8" s="63" customFormat="1" ht="63" hidden="1">
      <c r="A294" s="48" t="s">
        <v>942</v>
      </c>
      <c r="B294" s="70">
        <v>934</v>
      </c>
      <c r="C294" s="70">
        <v>14</v>
      </c>
      <c r="D294" s="68" t="s">
        <v>155</v>
      </c>
      <c r="E294" s="410" t="s">
        <v>941</v>
      </c>
      <c r="F294" s="383"/>
      <c r="G294" s="432">
        <f>G295</f>
        <v>0</v>
      </c>
      <c r="H294" s="432">
        <f>H295</f>
        <v>0</v>
      </c>
    </row>
    <row r="295" spans="1:8" s="63" customFormat="1" hidden="1">
      <c r="A295" s="409" t="s">
        <v>310</v>
      </c>
      <c r="B295" s="70">
        <v>934</v>
      </c>
      <c r="C295" s="70">
        <v>14</v>
      </c>
      <c r="D295" s="68" t="s">
        <v>155</v>
      </c>
      <c r="E295" s="410" t="s">
        <v>941</v>
      </c>
      <c r="F295" s="383">
        <v>540</v>
      </c>
      <c r="G295" s="432"/>
      <c r="H295" s="432">
        <f>G295</f>
        <v>0</v>
      </c>
    </row>
    <row r="296" spans="1:8" s="63" customFormat="1" ht="63">
      <c r="A296" s="48" t="s">
        <v>539</v>
      </c>
      <c r="B296" s="70">
        <v>934</v>
      </c>
      <c r="C296" s="70">
        <v>14</v>
      </c>
      <c r="D296" s="68" t="s">
        <v>155</v>
      </c>
      <c r="E296" s="410" t="s">
        <v>941</v>
      </c>
      <c r="F296" s="383"/>
      <c r="G296" s="432">
        <f>G297</f>
        <v>205.05</v>
      </c>
      <c r="H296" s="432">
        <f>H297</f>
        <v>0</v>
      </c>
    </row>
    <row r="297" spans="1:8" s="63" customFormat="1">
      <c r="A297" s="409" t="s">
        <v>310</v>
      </c>
      <c r="B297" s="70">
        <v>934</v>
      </c>
      <c r="C297" s="70">
        <v>14</v>
      </c>
      <c r="D297" s="68" t="s">
        <v>155</v>
      </c>
      <c r="E297" s="410" t="s">
        <v>941</v>
      </c>
      <c r="F297" s="383">
        <v>540</v>
      </c>
      <c r="G297" s="432">
        <v>205.05</v>
      </c>
      <c r="H297" s="81">
        <v>0</v>
      </c>
    </row>
    <row r="298" spans="1:8" s="63" customFormat="1" ht="31.5">
      <c r="A298" s="496" t="s">
        <v>1114</v>
      </c>
      <c r="B298" s="633">
        <v>934</v>
      </c>
      <c r="C298" s="515" t="s">
        <v>165</v>
      </c>
      <c r="D298" s="515" t="s">
        <v>155</v>
      </c>
      <c r="E298" s="515" t="s">
        <v>548</v>
      </c>
      <c r="F298" s="515"/>
      <c r="G298" s="377">
        <f>G299</f>
        <v>159.7116</v>
      </c>
      <c r="H298" s="377">
        <f>H299</f>
        <v>159.7116</v>
      </c>
    </row>
    <row r="299" spans="1:8" s="63" customFormat="1">
      <c r="A299" s="106" t="s">
        <v>651</v>
      </c>
      <c r="B299" s="276">
        <v>934</v>
      </c>
      <c r="C299" s="172" t="s">
        <v>165</v>
      </c>
      <c r="D299" s="172" t="s">
        <v>155</v>
      </c>
      <c r="E299" s="120" t="s">
        <v>548</v>
      </c>
      <c r="F299" s="301"/>
      <c r="G299" s="167">
        <f>G300</f>
        <v>159.7116</v>
      </c>
      <c r="H299" s="167">
        <f>H300</f>
        <v>159.7116</v>
      </c>
    </row>
    <row r="300" spans="1:8" s="63" customFormat="1">
      <c r="A300" s="106" t="s">
        <v>310</v>
      </c>
      <c r="B300" s="70">
        <v>934</v>
      </c>
      <c r="C300" s="68" t="s">
        <v>165</v>
      </c>
      <c r="D300" s="68" t="s">
        <v>155</v>
      </c>
      <c r="E300" s="120" t="s">
        <v>548</v>
      </c>
      <c r="F300" s="68" t="s">
        <v>321</v>
      </c>
      <c r="G300" s="81">
        <v>159.7116</v>
      </c>
      <c r="H300" s="81">
        <v>159.7116</v>
      </c>
    </row>
    <row r="301" spans="1:8" s="63" customFormat="1" ht="47.25">
      <c r="A301" s="496" t="s">
        <v>1104</v>
      </c>
      <c r="B301" s="144">
        <v>934</v>
      </c>
      <c r="C301" s="144" t="s">
        <v>165</v>
      </c>
      <c r="D301" s="144" t="s">
        <v>155</v>
      </c>
      <c r="E301" s="144" t="s">
        <v>398</v>
      </c>
      <c r="F301" s="144"/>
      <c r="G301" s="146">
        <f t="shared" ref="G301:H303" si="23">G302</f>
        <v>1210</v>
      </c>
      <c r="H301" s="146">
        <f t="shared" si="23"/>
        <v>1000</v>
      </c>
    </row>
    <row r="302" spans="1:8" s="63" customFormat="1" ht="31.5">
      <c r="A302" s="147" t="s">
        <v>1110</v>
      </c>
      <c r="B302" s="155">
        <v>934</v>
      </c>
      <c r="C302" s="155" t="s">
        <v>165</v>
      </c>
      <c r="D302" s="155" t="s">
        <v>155</v>
      </c>
      <c r="E302" s="155" t="s">
        <v>381</v>
      </c>
      <c r="F302" s="155"/>
      <c r="G302" s="163">
        <f t="shared" si="23"/>
        <v>1210</v>
      </c>
      <c r="H302" s="163">
        <f t="shared" si="23"/>
        <v>1000</v>
      </c>
    </row>
    <row r="303" spans="1:8" s="63" customFormat="1">
      <c r="A303" s="48" t="s">
        <v>650</v>
      </c>
      <c r="B303" s="68">
        <v>934</v>
      </c>
      <c r="C303" s="68" t="s">
        <v>165</v>
      </c>
      <c r="D303" s="68" t="s">
        <v>155</v>
      </c>
      <c r="E303" s="68" t="s">
        <v>629</v>
      </c>
      <c r="F303" s="120"/>
      <c r="G303" s="119">
        <f t="shared" si="23"/>
        <v>1210</v>
      </c>
      <c r="H303" s="119">
        <f t="shared" si="23"/>
        <v>1000</v>
      </c>
    </row>
    <row r="304" spans="1:8" s="63" customFormat="1">
      <c r="A304" s="48" t="s">
        <v>310</v>
      </c>
      <c r="B304" s="68">
        <v>934</v>
      </c>
      <c r="C304" s="68" t="s">
        <v>165</v>
      </c>
      <c r="D304" s="68" t="s">
        <v>155</v>
      </c>
      <c r="E304" s="68" t="s">
        <v>630</v>
      </c>
      <c r="F304" s="68" t="s">
        <v>321</v>
      </c>
      <c r="G304" s="81">
        <v>1210</v>
      </c>
      <c r="H304" s="81">
        <v>1000</v>
      </c>
    </row>
    <row r="305" spans="1:8" s="64" customFormat="1">
      <c r="A305" s="95" t="s">
        <v>81</v>
      </c>
      <c r="B305" s="72" t="s">
        <v>82</v>
      </c>
      <c r="C305" s="72"/>
      <c r="D305" s="72"/>
      <c r="E305" s="72"/>
      <c r="F305" s="72"/>
      <c r="G305" s="73">
        <f>G306+G509</f>
        <v>892067.35073000018</v>
      </c>
      <c r="H305" s="73">
        <f>H306+H509</f>
        <v>879612.93748000008</v>
      </c>
    </row>
    <row r="306" spans="1:8">
      <c r="A306" s="52" t="s">
        <v>307</v>
      </c>
      <c r="B306" s="75" t="s">
        <v>82</v>
      </c>
      <c r="C306" s="75" t="s">
        <v>154</v>
      </c>
      <c r="D306" s="75"/>
      <c r="E306" s="75"/>
      <c r="F306" s="75"/>
      <c r="G306" s="76">
        <f>G307+G338+G415+G432+G453</f>
        <v>890567.35073000018</v>
      </c>
      <c r="H306" s="76">
        <f>H307+H338+H415+H432+H453</f>
        <v>878112.93748000008</v>
      </c>
    </row>
    <row r="307" spans="1:8">
      <c r="A307" s="52" t="s">
        <v>274</v>
      </c>
      <c r="B307" s="75" t="s">
        <v>82</v>
      </c>
      <c r="C307" s="75" t="s">
        <v>154</v>
      </c>
      <c r="D307" s="75" t="s">
        <v>152</v>
      </c>
      <c r="E307" s="75"/>
      <c r="F307" s="75"/>
      <c r="G307" s="94">
        <f>G308+G334</f>
        <v>156952.5</v>
      </c>
      <c r="H307" s="94">
        <f>H308+H322+H334</f>
        <v>155647.26400000002</v>
      </c>
    </row>
    <row r="308" spans="1:8" ht="54.75" customHeight="1">
      <c r="A308" s="142" t="s">
        <v>946</v>
      </c>
      <c r="B308" s="153" t="s">
        <v>82</v>
      </c>
      <c r="C308" s="153" t="s">
        <v>154</v>
      </c>
      <c r="D308" s="153" t="s">
        <v>152</v>
      </c>
      <c r="E308" s="153" t="s">
        <v>574</v>
      </c>
      <c r="F308" s="153"/>
      <c r="G308" s="146">
        <f t="shared" ref="G308:H309" si="24">G309</f>
        <v>156252.5</v>
      </c>
      <c r="H308" s="146">
        <f t="shared" si="24"/>
        <v>0</v>
      </c>
    </row>
    <row r="309" spans="1:8" ht="37.5" customHeight="1">
      <c r="A309" s="147" t="s">
        <v>350</v>
      </c>
      <c r="B309" s="149" t="s">
        <v>82</v>
      </c>
      <c r="C309" s="149" t="s">
        <v>154</v>
      </c>
      <c r="D309" s="149" t="s">
        <v>152</v>
      </c>
      <c r="E309" s="149" t="s">
        <v>575</v>
      </c>
      <c r="F309" s="149"/>
      <c r="G309" s="146">
        <f t="shared" si="24"/>
        <v>156252.5</v>
      </c>
      <c r="H309" s="146">
        <f t="shared" si="24"/>
        <v>0</v>
      </c>
    </row>
    <row r="310" spans="1:8" ht="47.25">
      <c r="A310" s="517" t="s">
        <v>576</v>
      </c>
      <c r="B310" s="159">
        <v>936</v>
      </c>
      <c r="C310" s="129" t="s">
        <v>154</v>
      </c>
      <c r="D310" s="129" t="s">
        <v>152</v>
      </c>
      <c r="E310" s="168" t="s">
        <v>577</v>
      </c>
      <c r="F310" s="129"/>
      <c r="G310" s="93">
        <f>G311+G312+G316+G319+G313</f>
        <v>156252.5</v>
      </c>
      <c r="H310" s="93">
        <f>H311+H312+H316+H319</f>
        <v>0</v>
      </c>
    </row>
    <row r="311" spans="1:8" s="63" customFormat="1" ht="47.25">
      <c r="A311" s="48" t="s">
        <v>204</v>
      </c>
      <c r="B311" s="68" t="s">
        <v>82</v>
      </c>
      <c r="C311" s="68" t="s">
        <v>154</v>
      </c>
      <c r="D311" s="68" t="s">
        <v>152</v>
      </c>
      <c r="E311" s="120" t="s">
        <v>578</v>
      </c>
      <c r="F311" s="68" t="s">
        <v>319</v>
      </c>
      <c r="G311" s="119">
        <f>37500+2500</f>
        <v>40000</v>
      </c>
      <c r="H311" s="119">
        <v>0</v>
      </c>
    </row>
    <row r="312" spans="1:8" s="63" customFormat="1" ht="47.25">
      <c r="A312" s="48" t="s">
        <v>268</v>
      </c>
      <c r="B312" s="68" t="s">
        <v>82</v>
      </c>
      <c r="C312" s="68" t="s">
        <v>154</v>
      </c>
      <c r="D312" s="68" t="s">
        <v>152</v>
      </c>
      <c r="E312" s="120" t="s">
        <v>578</v>
      </c>
      <c r="F312" s="68" t="s">
        <v>320</v>
      </c>
      <c r="G312" s="167">
        <f>15300+2254.6</f>
        <v>17554.599999999999</v>
      </c>
      <c r="H312" s="167">
        <v>0</v>
      </c>
    </row>
    <row r="313" spans="1:8" s="63" customFormat="1" ht="63">
      <c r="A313" s="46" t="s">
        <v>570</v>
      </c>
      <c r="B313" s="120" t="s">
        <v>82</v>
      </c>
      <c r="C313" s="120" t="s">
        <v>154</v>
      </c>
      <c r="D313" s="120" t="s">
        <v>152</v>
      </c>
      <c r="E313" s="120" t="s">
        <v>717</v>
      </c>
      <c r="F313" s="120"/>
      <c r="G313" s="167">
        <f>G314+G315</f>
        <v>16000</v>
      </c>
      <c r="H313" s="167">
        <v>0</v>
      </c>
    </row>
    <row r="314" spans="1:8" s="63" customFormat="1">
      <c r="A314" s="138" t="s">
        <v>205</v>
      </c>
      <c r="B314" s="120" t="s">
        <v>82</v>
      </c>
      <c r="C314" s="120" t="s">
        <v>154</v>
      </c>
      <c r="D314" s="120" t="s">
        <v>152</v>
      </c>
      <c r="E314" s="120" t="s">
        <v>717</v>
      </c>
      <c r="F314" s="120" t="s">
        <v>202</v>
      </c>
      <c r="G314" s="167">
        <v>10000</v>
      </c>
      <c r="H314" s="167">
        <v>0</v>
      </c>
    </row>
    <row r="315" spans="1:8" s="63" customFormat="1">
      <c r="A315" s="138" t="s">
        <v>269</v>
      </c>
      <c r="B315" s="120" t="s">
        <v>82</v>
      </c>
      <c r="C315" s="120" t="s">
        <v>154</v>
      </c>
      <c r="D315" s="120" t="s">
        <v>152</v>
      </c>
      <c r="E315" s="120" t="s">
        <v>717</v>
      </c>
      <c r="F315" s="120" t="s">
        <v>270</v>
      </c>
      <c r="G315" s="167">
        <v>6000</v>
      </c>
      <c r="H315" s="167">
        <v>0</v>
      </c>
    </row>
    <row r="316" spans="1:8" s="63" customFormat="1" ht="31.5">
      <c r="A316" s="128" t="s">
        <v>275</v>
      </c>
      <c r="B316" s="129" t="s">
        <v>82</v>
      </c>
      <c r="C316" s="129" t="s">
        <v>154</v>
      </c>
      <c r="D316" s="129" t="s">
        <v>152</v>
      </c>
      <c r="E316" s="129" t="s">
        <v>579</v>
      </c>
      <c r="F316" s="120"/>
      <c r="G316" s="167">
        <f>G317+G318</f>
        <v>82345.899999999994</v>
      </c>
      <c r="H316" s="167">
        <f>H317+H318</f>
        <v>0</v>
      </c>
    </row>
    <row r="317" spans="1:8" s="63" customFormat="1">
      <c r="A317" s="138" t="s">
        <v>205</v>
      </c>
      <c r="B317" s="120" t="s">
        <v>82</v>
      </c>
      <c r="C317" s="120" t="s">
        <v>154</v>
      </c>
      <c r="D317" s="120" t="s">
        <v>152</v>
      </c>
      <c r="E317" s="120" t="s">
        <v>579</v>
      </c>
      <c r="F317" s="120" t="s">
        <v>202</v>
      </c>
      <c r="G317" s="119">
        <f>51386.2+544.9</f>
        <v>51931.1</v>
      </c>
      <c r="H317" s="119">
        <v>0</v>
      </c>
    </row>
    <row r="318" spans="1:8" s="63" customFormat="1">
      <c r="A318" s="138" t="s">
        <v>269</v>
      </c>
      <c r="B318" s="120" t="s">
        <v>82</v>
      </c>
      <c r="C318" s="120" t="s">
        <v>154</v>
      </c>
      <c r="D318" s="120" t="s">
        <v>152</v>
      </c>
      <c r="E318" s="120" t="s">
        <v>579</v>
      </c>
      <c r="F318" s="120" t="s">
        <v>270</v>
      </c>
      <c r="G318" s="119">
        <v>30414.799999999999</v>
      </c>
      <c r="H318" s="119">
        <v>0</v>
      </c>
    </row>
    <row r="319" spans="1:8" s="63" customFormat="1" ht="47.25">
      <c r="A319" s="48" t="s">
        <v>961</v>
      </c>
      <c r="B319" s="68" t="s">
        <v>82</v>
      </c>
      <c r="C319" s="68" t="s">
        <v>154</v>
      </c>
      <c r="D319" s="68" t="s">
        <v>152</v>
      </c>
      <c r="E319" s="120" t="s">
        <v>962</v>
      </c>
      <c r="F319" s="68"/>
      <c r="G319" s="119">
        <f>G320+G321</f>
        <v>352</v>
      </c>
      <c r="H319" s="119">
        <f>H320+H321</f>
        <v>0</v>
      </c>
    </row>
    <row r="320" spans="1:8" s="63" customFormat="1">
      <c r="A320" s="48" t="s">
        <v>205</v>
      </c>
      <c r="B320" s="68" t="s">
        <v>82</v>
      </c>
      <c r="C320" s="68" t="s">
        <v>154</v>
      </c>
      <c r="D320" s="68" t="s">
        <v>152</v>
      </c>
      <c r="E320" s="120" t="s">
        <v>776</v>
      </c>
      <c r="F320" s="68" t="s">
        <v>202</v>
      </c>
      <c r="G320" s="119">
        <v>140.6</v>
      </c>
      <c r="H320" s="119">
        <v>0</v>
      </c>
    </row>
    <row r="321" spans="1:8" s="63" customFormat="1">
      <c r="A321" s="138" t="s">
        <v>269</v>
      </c>
      <c r="B321" s="68" t="s">
        <v>82</v>
      </c>
      <c r="C321" s="68" t="s">
        <v>154</v>
      </c>
      <c r="D321" s="68" t="s">
        <v>152</v>
      </c>
      <c r="E321" s="120" t="s">
        <v>776</v>
      </c>
      <c r="F321" s="68" t="s">
        <v>270</v>
      </c>
      <c r="G321" s="119">
        <v>211.4</v>
      </c>
      <c r="H321" s="119">
        <v>0</v>
      </c>
    </row>
    <row r="322" spans="1:8" s="63" customFormat="1">
      <c r="A322" s="138" t="s">
        <v>359</v>
      </c>
      <c r="B322" s="68" t="s">
        <v>82</v>
      </c>
      <c r="C322" s="68" t="s">
        <v>154</v>
      </c>
      <c r="D322" s="68" t="s">
        <v>152</v>
      </c>
      <c r="E322" s="120" t="s">
        <v>1136</v>
      </c>
      <c r="F322" s="68"/>
      <c r="G322" s="119">
        <f>G323+G324+G328+G331</f>
        <v>0</v>
      </c>
      <c r="H322" s="119">
        <f>H323+H324+H328+H331+H325</f>
        <v>155128.20000000001</v>
      </c>
    </row>
    <row r="323" spans="1:8" s="63" customFormat="1" ht="47.25">
      <c r="A323" s="48" t="s">
        <v>204</v>
      </c>
      <c r="B323" s="68" t="s">
        <v>82</v>
      </c>
      <c r="C323" s="68" t="s">
        <v>154</v>
      </c>
      <c r="D323" s="68" t="s">
        <v>152</v>
      </c>
      <c r="E323" s="120" t="s">
        <v>1137</v>
      </c>
      <c r="F323" s="68" t="s">
        <v>319</v>
      </c>
      <c r="G323" s="119">
        <v>0</v>
      </c>
      <c r="H323" s="119">
        <f>37500+2500</f>
        <v>40000</v>
      </c>
    </row>
    <row r="324" spans="1:8" s="63" customFormat="1" ht="47.25">
      <c r="A324" s="48" t="s">
        <v>268</v>
      </c>
      <c r="B324" s="68" t="s">
        <v>82</v>
      </c>
      <c r="C324" s="68" t="s">
        <v>154</v>
      </c>
      <c r="D324" s="68" t="s">
        <v>152</v>
      </c>
      <c r="E324" s="120" t="s">
        <v>1137</v>
      </c>
      <c r="F324" s="68" t="s">
        <v>320</v>
      </c>
      <c r="G324" s="167">
        <v>0</v>
      </c>
      <c r="H324" s="167">
        <f>15300+2254.6</f>
        <v>17554.599999999999</v>
      </c>
    </row>
    <row r="325" spans="1:8" s="63" customFormat="1" ht="63">
      <c r="A325" s="46" t="s">
        <v>570</v>
      </c>
      <c r="B325" s="120" t="s">
        <v>82</v>
      </c>
      <c r="C325" s="120" t="s">
        <v>154</v>
      </c>
      <c r="D325" s="120" t="s">
        <v>152</v>
      </c>
      <c r="E325" s="120" t="s">
        <v>1248</v>
      </c>
      <c r="F325" s="120"/>
      <c r="G325" s="167">
        <f>G326+G327</f>
        <v>0</v>
      </c>
      <c r="H325" s="167">
        <f>H326+H327</f>
        <v>14875.7</v>
      </c>
    </row>
    <row r="326" spans="1:8" s="63" customFormat="1">
      <c r="A326" s="138" t="s">
        <v>205</v>
      </c>
      <c r="B326" s="120" t="s">
        <v>82</v>
      </c>
      <c r="C326" s="120" t="s">
        <v>154</v>
      </c>
      <c r="D326" s="120" t="s">
        <v>152</v>
      </c>
      <c r="E326" s="120" t="s">
        <v>1248</v>
      </c>
      <c r="F326" s="120" t="s">
        <v>202</v>
      </c>
      <c r="G326" s="167">
        <v>0</v>
      </c>
      <c r="H326" s="167">
        <v>10000</v>
      </c>
    </row>
    <row r="327" spans="1:8" s="63" customFormat="1">
      <c r="A327" s="138" t="s">
        <v>269</v>
      </c>
      <c r="B327" s="120" t="s">
        <v>82</v>
      </c>
      <c r="C327" s="120" t="s">
        <v>154</v>
      </c>
      <c r="D327" s="120" t="s">
        <v>152</v>
      </c>
      <c r="E327" s="120" t="s">
        <v>1248</v>
      </c>
      <c r="F327" s="120" t="s">
        <v>270</v>
      </c>
      <c r="G327" s="167">
        <v>0</v>
      </c>
      <c r="H327" s="167">
        <f>6000-1124.3</f>
        <v>4875.7</v>
      </c>
    </row>
    <row r="328" spans="1:8" s="63" customFormat="1" ht="31.5">
      <c r="A328" s="128" t="s">
        <v>275</v>
      </c>
      <c r="B328" s="129" t="s">
        <v>82</v>
      </c>
      <c r="C328" s="129" t="s">
        <v>154</v>
      </c>
      <c r="D328" s="129" t="s">
        <v>152</v>
      </c>
      <c r="E328" s="129" t="s">
        <v>1138</v>
      </c>
      <c r="F328" s="120"/>
      <c r="G328" s="167">
        <f>G329+G330</f>
        <v>0</v>
      </c>
      <c r="H328" s="167">
        <f>H329+H330</f>
        <v>82345.899999999994</v>
      </c>
    </row>
    <row r="329" spans="1:8" s="63" customFormat="1">
      <c r="A329" s="138" t="s">
        <v>205</v>
      </c>
      <c r="B329" s="120" t="s">
        <v>82</v>
      </c>
      <c r="C329" s="120" t="s">
        <v>154</v>
      </c>
      <c r="D329" s="120" t="s">
        <v>152</v>
      </c>
      <c r="E329" s="129" t="s">
        <v>1138</v>
      </c>
      <c r="F329" s="120" t="s">
        <v>202</v>
      </c>
      <c r="G329" s="119">
        <v>0</v>
      </c>
      <c r="H329" s="119">
        <f>51386.2+544.9</f>
        <v>51931.1</v>
      </c>
    </row>
    <row r="330" spans="1:8" s="63" customFormat="1">
      <c r="A330" s="138" t="s">
        <v>269</v>
      </c>
      <c r="B330" s="120" t="s">
        <v>82</v>
      </c>
      <c r="C330" s="120" t="s">
        <v>154</v>
      </c>
      <c r="D330" s="120" t="s">
        <v>152</v>
      </c>
      <c r="E330" s="129" t="s">
        <v>1138</v>
      </c>
      <c r="F330" s="120" t="s">
        <v>270</v>
      </c>
      <c r="G330" s="119">
        <v>0</v>
      </c>
      <c r="H330" s="119">
        <v>30414.799999999999</v>
      </c>
    </row>
    <row r="331" spans="1:8" s="63" customFormat="1" ht="47.25">
      <c r="A331" s="48" t="s">
        <v>961</v>
      </c>
      <c r="B331" s="68" t="s">
        <v>82</v>
      </c>
      <c r="C331" s="68" t="s">
        <v>154</v>
      </c>
      <c r="D331" s="68" t="s">
        <v>152</v>
      </c>
      <c r="E331" s="120" t="s">
        <v>1139</v>
      </c>
      <c r="F331" s="68"/>
      <c r="G331" s="119">
        <f>G332+G333</f>
        <v>0</v>
      </c>
      <c r="H331" s="119">
        <f>H332+H333</f>
        <v>352</v>
      </c>
    </row>
    <row r="332" spans="1:8" s="63" customFormat="1">
      <c r="A332" s="48" t="s">
        <v>205</v>
      </c>
      <c r="B332" s="68" t="s">
        <v>82</v>
      </c>
      <c r="C332" s="68" t="s">
        <v>154</v>
      </c>
      <c r="D332" s="68" t="s">
        <v>152</v>
      </c>
      <c r="E332" s="120" t="s">
        <v>1139</v>
      </c>
      <c r="F332" s="68" t="s">
        <v>202</v>
      </c>
      <c r="G332" s="119">
        <v>0</v>
      </c>
      <c r="H332" s="119">
        <v>140.6</v>
      </c>
    </row>
    <row r="333" spans="1:8" s="63" customFormat="1">
      <c r="A333" s="138" t="s">
        <v>269</v>
      </c>
      <c r="B333" s="68" t="s">
        <v>82</v>
      </c>
      <c r="C333" s="68" t="s">
        <v>154</v>
      </c>
      <c r="D333" s="68" t="s">
        <v>152</v>
      </c>
      <c r="E333" s="120" t="s">
        <v>1139</v>
      </c>
      <c r="F333" s="68" t="s">
        <v>270</v>
      </c>
      <c r="G333" s="119">
        <v>0</v>
      </c>
      <c r="H333" s="119">
        <v>211.4</v>
      </c>
    </row>
    <row r="334" spans="1:8" s="63" customFormat="1" ht="31.5">
      <c r="A334" s="496" t="s">
        <v>1116</v>
      </c>
      <c r="B334" s="515" t="s">
        <v>82</v>
      </c>
      <c r="C334" s="515" t="s">
        <v>154</v>
      </c>
      <c r="D334" s="515" t="s">
        <v>152</v>
      </c>
      <c r="E334" s="515" t="s">
        <v>783</v>
      </c>
      <c r="F334" s="515"/>
      <c r="G334" s="162">
        <f>G335</f>
        <v>700</v>
      </c>
      <c r="H334" s="162">
        <f>H335</f>
        <v>519.06399999999996</v>
      </c>
    </row>
    <row r="335" spans="1:8" s="63" customFormat="1" ht="31.5">
      <c r="A335" s="164" t="s">
        <v>785</v>
      </c>
      <c r="B335" s="68" t="s">
        <v>82</v>
      </c>
      <c r="C335" s="68" t="s">
        <v>154</v>
      </c>
      <c r="D335" s="68" t="s">
        <v>152</v>
      </c>
      <c r="E335" s="172" t="s">
        <v>784</v>
      </c>
      <c r="F335" s="172"/>
      <c r="G335" s="119">
        <f>G336+G337</f>
        <v>700</v>
      </c>
      <c r="H335" s="119">
        <f>H336+H337</f>
        <v>519.06399999999996</v>
      </c>
    </row>
    <row r="336" spans="1:8" s="63" customFormat="1">
      <c r="A336" s="48" t="s">
        <v>378</v>
      </c>
      <c r="B336" s="68" t="s">
        <v>82</v>
      </c>
      <c r="C336" s="68" t="s">
        <v>154</v>
      </c>
      <c r="D336" s="68" t="s">
        <v>152</v>
      </c>
      <c r="E336" s="172" t="s">
        <v>784</v>
      </c>
      <c r="F336" s="172" t="s">
        <v>202</v>
      </c>
      <c r="G336" s="119">
        <v>200</v>
      </c>
      <c r="H336" s="119">
        <v>519.06399999999996</v>
      </c>
    </row>
    <row r="337" spans="1:8" s="63" customFormat="1">
      <c r="A337" s="138" t="s">
        <v>269</v>
      </c>
      <c r="B337" s="68" t="s">
        <v>82</v>
      </c>
      <c r="C337" s="68" t="s">
        <v>154</v>
      </c>
      <c r="D337" s="68" t="s">
        <v>152</v>
      </c>
      <c r="E337" s="172" t="s">
        <v>784</v>
      </c>
      <c r="F337" s="172" t="s">
        <v>270</v>
      </c>
      <c r="G337" s="119">
        <v>500</v>
      </c>
      <c r="H337" s="119">
        <v>0</v>
      </c>
    </row>
    <row r="338" spans="1:8" s="63" customFormat="1">
      <c r="A338" s="51" t="s">
        <v>199</v>
      </c>
      <c r="B338" s="75" t="s">
        <v>82</v>
      </c>
      <c r="C338" s="78" t="s">
        <v>154</v>
      </c>
      <c r="D338" s="78" t="s">
        <v>153</v>
      </c>
      <c r="E338" s="75"/>
      <c r="F338" s="78"/>
      <c r="G338" s="79">
        <f>G339+G409+G412</f>
        <v>653189.24779000017</v>
      </c>
      <c r="H338" s="79">
        <f>H339+H381+H409+H412</f>
        <v>641624.27054000017</v>
      </c>
    </row>
    <row r="339" spans="1:8" s="63" customFormat="1" ht="31.5">
      <c r="A339" s="516" t="s">
        <v>948</v>
      </c>
      <c r="B339" s="515" t="s">
        <v>82</v>
      </c>
      <c r="C339" s="515" t="s">
        <v>154</v>
      </c>
      <c r="D339" s="515" t="s">
        <v>153</v>
      </c>
      <c r="E339" s="515" t="s">
        <v>581</v>
      </c>
      <c r="F339" s="515"/>
      <c r="G339" s="154">
        <f>G340+G373</f>
        <v>652679.82568000013</v>
      </c>
      <c r="H339" s="154">
        <f>H340+H373</f>
        <v>0</v>
      </c>
    </row>
    <row r="340" spans="1:8" ht="31.5">
      <c r="A340" s="147" t="s">
        <v>349</v>
      </c>
      <c r="B340" s="149" t="s">
        <v>82</v>
      </c>
      <c r="C340" s="149" t="s">
        <v>154</v>
      </c>
      <c r="D340" s="149" t="s">
        <v>153</v>
      </c>
      <c r="E340" s="149" t="s">
        <v>582</v>
      </c>
      <c r="F340" s="149"/>
      <c r="G340" s="150">
        <f>G341</f>
        <v>651892.34568000014</v>
      </c>
      <c r="H340" s="150">
        <f>H341</f>
        <v>0</v>
      </c>
    </row>
    <row r="341" spans="1:8" s="127" customFormat="1" ht="40.5" customHeight="1">
      <c r="A341" s="186" t="s">
        <v>580</v>
      </c>
      <c r="B341" s="168" t="s">
        <v>82</v>
      </c>
      <c r="C341" s="168" t="s">
        <v>154</v>
      </c>
      <c r="D341" s="168" t="s">
        <v>153</v>
      </c>
      <c r="E341" s="168" t="s">
        <v>583</v>
      </c>
      <c r="F341" s="168"/>
      <c r="G341" s="167">
        <f>G342+G345+G347+G349+G351+G353+G355+G357+G359+G361+G363+G365+G367+G369+G371+G343</f>
        <v>651892.34568000014</v>
      </c>
      <c r="H341" s="167">
        <f>H342+H345+H347+H349+H351+H353+H355+H357+H359+H361+H363+H365+H367+H369+H371</f>
        <v>0</v>
      </c>
    </row>
    <row r="342" spans="1:8" ht="47.25">
      <c r="A342" s="48" t="s">
        <v>204</v>
      </c>
      <c r="B342" s="68" t="s">
        <v>82</v>
      </c>
      <c r="C342" s="68" t="s">
        <v>154</v>
      </c>
      <c r="D342" s="68" t="s">
        <v>153</v>
      </c>
      <c r="E342" s="120" t="s">
        <v>584</v>
      </c>
      <c r="F342" s="68" t="s">
        <v>319</v>
      </c>
      <c r="G342" s="119">
        <f>80350.11203-7000-40-300-1635.2-0.5557+0.00004-2035.223+1630.223-3856.5-2035.223+4000+15000-59.42211-2500-295.487-1210-550-2.6-927.6+8500-320.3-8010.19875-2075.478+10.8-2761.8-17076.05203-10+675.278</f>
        <v>57464.773480000003</v>
      </c>
      <c r="H342" s="119">
        <v>0</v>
      </c>
    </row>
    <row r="343" spans="1:8" ht="63">
      <c r="A343" s="46" t="s">
        <v>570</v>
      </c>
      <c r="B343" s="68" t="s">
        <v>82</v>
      </c>
      <c r="C343" s="68" t="s">
        <v>154</v>
      </c>
      <c r="D343" s="68" t="s">
        <v>153</v>
      </c>
      <c r="E343" s="120" t="s">
        <v>703</v>
      </c>
      <c r="F343" s="68"/>
      <c r="G343" s="119">
        <f>G344</f>
        <v>65181.8</v>
      </c>
      <c r="H343" s="119"/>
    </row>
    <row r="344" spans="1:8">
      <c r="A344" s="48" t="s">
        <v>205</v>
      </c>
      <c r="B344" s="68" t="s">
        <v>82</v>
      </c>
      <c r="C344" s="68" t="s">
        <v>154</v>
      </c>
      <c r="D344" s="68" t="s">
        <v>153</v>
      </c>
      <c r="E344" s="120" t="s">
        <v>703</v>
      </c>
      <c r="F344" s="68" t="s">
        <v>202</v>
      </c>
      <c r="G344" s="119">
        <v>65181.8</v>
      </c>
      <c r="H344" s="119"/>
    </row>
    <row r="345" spans="1:8" ht="31.5">
      <c r="A345" s="49" t="s">
        <v>275</v>
      </c>
      <c r="B345" s="67" t="s">
        <v>82</v>
      </c>
      <c r="C345" s="67" t="s">
        <v>154</v>
      </c>
      <c r="D345" s="67" t="s">
        <v>153</v>
      </c>
      <c r="E345" s="68" t="s">
        <v>585</v>
      </c>
      <c r="F345" s="67"/>
      <c r="G345" s="167">
        <f>G346</f>
        <v>7511.4</v>
      </c>
      <c r="H345" s="167">
        <v>0</v>
      </c>
    </row>
    <row r="346" spans="1:8">
      <c r="A346" s="48" t="s">
        <v>205</v>
      </c>
      <c r="B346" s="68" t="s">
        <v>82</v>
      </c>
      <c r="C346" s="68" t="s">
        <v>154</v>
      </c>
      <c r="D346" s="68" t="s">
        <v>153</v>
      </c>
      <c r="E346" s="68" t="s">
        <v>585</v>
      </c>
      <c r="F346" s="68" t="s">
        <v>202</v>
      </c>
      <c r="G346" s="167">
        <v>7511.4</v>
      </c>
      <c r="H346" s="167">
        <v>0</v>
      </c>
    </row>
    <row r="347" spans="1:8" ht="78.75">
      <c r="A347" s="49" t="s">
        <v>500</v>
      </c>
      <c r="B347" s="67" t="s">
        <v>82</v>
      </c>
      <c r="C347" s="67" t="s">
        <v>154</v>
      </c>
      <c r="D347" s="67" t="s">
        <v>153</v>
      </c>
      <c r="E347" s="67" t="s">
        <v>586</v>
      </c>
      <c r="F347" s="67"/>
      <c r="G347" s="167">
        <f>G348</f>
        <v>292514.5</v>
      </c>
      <c r="H347" s="167">
        <f>H348</f>
        <v>0</v>
      </c>
    </row>
    <row r="348" spans="1:8" ht="25.5" customHeight="1">
      <c r="A348" s="48" t="s">
        <v>205</v>
      </c>
      <c r="B348" s="68" t="s">
        <v>82</v>
      </c>
      <c r="C348" s="68" t="s">
        <v>154</v>
      </c>
      <c r="D348" s="68" t="s">
        <v>153</v>
      </c>
      <c r="E348" s="67" t="s">
        <v>586</v>
      </c>
      <c r="F348" s="68" t="s">
        <v>202</v>
      </c>
      <c r="G348" s="169">
        <v>292514.5</v>
      </c>
      <c r="H348" s="169">
        <v>0</v>
      </c>
    </row>
    <row r="349" spans="1:8">
      <c r="A349" s="49" t="s">
        <v>179</v>
      </c>
      <c r="B349" s="68" t="s">
        <v>82</v>
      </c>
      <c r="C349" s="67" t="s">
        <v>154</v>
      </c>
      <c r="D349" s="67" t="s">
        <v>153</v>
      </c>
      <c r="E349" s="68" t="s">
        <v>587</v>
      </c>
      <c r="F349" s="67"/>
      <c r="G349" s="167">
        <f>G350</f>
        <v>5806.1</v>
      </c>
      <c r="H349" s="167">
        <f>H350</f>
        <v>0</v>
      </c>
    </row>
    <row r="350" spans="1:8" s="63" customFormat="1">
      <c r="A350" s="48" t="s">
        <v>205</v>
      </c>
      <c r="B350" s="68" t="s">
        <v>82</v>
      </c>
      <c r="C350" s="68" t="s">
        <v>154</v>
      </c>
      <c r="D350" s="68" t="s">
        <v>153</v>
      </c>
      <c r="E350" s="68" t="s">
        <v>587</v>
      </c>
      <c r="F350" s="68" t="s">
        <v>202</v>
      </c>
      <c r="G350" s="169">
        <v>5806.1</v>
      </c>
      <c r="H350" s="169">
        <v>0</v>
      </c>
    </row>
    <row r="351" spans="1:8" ht="47.25">
      <c r="A351" s="48" t="s">
        <v>552</v>
      </c>
      <c r="B351" s="120" t="s">
        <v>82</v>
      </c>
      <c r="C351" s="129" t="s">
        <v>154</v>
      </c>
      <c r="D351" s="129" t="s">
        <v>153</v>
      </c>
      <c r="E351" s="120" t="s">
        <v>588</v>
      </c>
      <c r="F351" s="129"/>
      <c r="G351" s="167">
        <f>G352</f>
        <v>12565.4</v>
      </c>
      <c r="H351" s="381">
        <f>H352</f>
        <v>0</v>
      </c>
    </row>
    <row r="352" spans="1:8">
      <c r="A352" s="48" t="s">
        <v>205</v>
      </c>
      <c r="B352" s="68" t="s">
        <v>82</v>
      </c>
      <c r="C352" s="68" t="s">
        <v>154</v>
      </c>
      <c r="D352" s="68" t="s">
        <v>153</v>
      </c>
      <c r="E352" s="120" t="s">
        <v>588</v>
      </c>
      <c r="F352" s="68" t="s">
        <v>202</v>
      </c>
      <c r="G352" s="169">
        <v>12565.4</v>
      </c>
      <c r="H352" s="169">
        <v>0</v>
      </c>
    </row>
    <row r="353" spans="1:8" ht="63">
      <c r="A353" s="48" t="s">
        <v>553</v>
      </c>
      <c r="B353" s="68" t="s">
        <v>82</v>
      </c>
      <c r="C353" s="68" t="s">
        <v>154</v>
      </c>
      <c r="D353" s="68" t="s">
        <v>153</v>
      </c>
      <c r="E353" s="120" t="s">
        <v>588</v>
      </c>
      <c r="F353" s="68"/>
      <c r="G353" s="167">
        <f>G354</f>
        <v>12565.4</v>
      </c>
      <c r="H353" s="381">
        <f>H354</f>
        <v>0</v>
      </c>
    </row>
    <row r="354" spans="1:8">
      <c r="A354" s="48" t="s">
        <v>205</v>
      </c>
      <c r="B354" s="68" t="s">
        <v>82</v>
      </c>
      <c r="C354" s="68" t="s">
        <v>154</v>
      </c>
      <c r="D354" s="68" t="s">
        <v>153</v>
      </c>
      <c r="E354" s="120" t="s">
        <v>588</v>
      </c>
      <c r="F354" s="68" t="s">
        <v>202</v>
      </c>
      <c r="G354" s="167">
        <v>12565.4</v>
      </c>
      <c r="H354" s="381">
        <v>0</v>
      </c>
    </row>
    <row r="355" spans="1:8" ht="47.25">
      <c r="A355" s="48" t="s">
        <v>522</v>
      </c>
      <c r="B355" s="129" t="s">
        <v>82</v>
      </c>
      <c r="C355" s="129" t="s">
        <v>154</v>
      </c>
      <c r="D355" s="129" t="s">
        <v>153</v>
      </c>
      <c r="E355" s="68" t="s">
        <v>590</v>
      </c>
      <c r="F355" s="129"/>
      <c r="G355" s="167">
        <f>G356</f>
        <v>122321.3</v>
      </c>
      <c r="H355" s="381">
        <f>H356</f>
        <v>0</v>
      </c>
    </row>
    <row r="356" spans="1:8">
      <c r="A356" s="48" t="s">
        <v>378</v>
      </c>
      <c r="B356" s="120" t="s">
        <v>82</v>
      </c>
      <c r="C356" s="120" t="s">
        <v>154</v>
      </c>
      <c r="D356" s="120" t="s">
        <v>153</v>
      </c>
      <c r="E356" s="68" t="s">
        <v>590</v>
      </c>
      <c r="F356" s="129" t="s">
        <v>202</v>
      </c>
      <c r="G356" s="93">
        <f>115068.8+7252.5</f>
        <v>122321.3</v>
      </c>
      <c r="H356" s="93">
        <v>0</v>
      </c>
    </row>
    <row r="357" spans="1:8" ht="63">
      <c r="A357" s="48" t="s">
        <v>527</v>
      </c>
      <c r="B357" s="129" t="s">
        <v>82</v>
      </c>
      <c r="C357" s="129" t="s">
        <v>154</v>
      </c>
      <c r="D357" s="129" t="s">
        <v>153</v>
      </c>
      <c r="E357" s="68" t="s">
        <v>589</v>
      </c>
      <c r="F357" s="129"/>
      <c r="G357" s="93">
        <f>G358</f>
        <v>12920.5</v>
      </c>
      <c r="H357" s="167">
        <f>H358</f>
        <v>0</v>
      </c>
    </row>
    <row r="358" spans="1:8">
      <c r="A358" s="48" t="s">
        <v>378</v>
      </c>
      <c r="B358" s="120" t="s">
        <v>82</v>
      </c>
      <c r="C358" s="120" t="s">
        <v>154</v>
      </c>
      <c r="D358" s="120" t="s">
        <v>153</v>
      </c>
      <c r="E358" s="68" t="s">
        <v>589</v>
      </c>
      <c r="F358" s="120" t="s">
        <v>202</v>
      </c>
      <c r="G358" s="93">
        <v>12920.5</v>
      </c>
      <c r="H358" s="93">
        <v>0</v>
      </c>
    </row>
    <row r="359" spans="1:8" ht="110.25">
      <c r="A359" s="48" t="s">
        <v>1132</v>
      </c>
      <c r="B359" s="120" t="s">
        <v>82</v>
      </c>
      <c r="C359" s="120" t="s">
        <v>154</v>
      </c>
      <c r="D359" s="120" t="s">
        <v>153</v>
      </c>
      <c r="E359" s="68" t="s">
        <v>734</v>
      </c>
      <c r="F359" s="120"/>
      <c r="G359" s="93">
        <f>G360</f>
        <v>1652.7</v>
      </c>
      <c r="H359" s="167">
        <f>H360</f>
        <v>0</v>
      </c>
    </row>
    <row r="360" spans="1:8">
      <c r="A360" s="48" t="s">
        <v>378</v>
      </c>
      <c r="B360" s="120" t="s">
        <v>82</v>
      </c>
      <c r="C360" s="120" t="s">
        <v>154</v>
      </c>
      <c r="D360" s="120" t="s">
        <v>153</v>
      </c>
      <c r="E360" s="68" t="s">
        <v>734</v>
      </c>
      <c r="F360" s="120" t="s">
        <v>202</v>
      </c>
      <c r="G360" s="93">
        <v>1652.7</v>
      </c>
      <c r="H360" s="93">
        <v>0</v>
      </c>
    </row>
    <row r="361" spans="1:8" ht="110.25">
      <c r="A361" s="48" t="s">
        <v>1133</v>
      </c>
      <c r="B361" s="120" t="s">
        <v>82</v>
      </c>
      <c r="C361" s="120" t="s">
        <v>154</v>
      </c>
      <c r="D361" s="120" t="s">
        <v>153</v>
      </c>
      <c r="E361" s="68" t="s">
        <v>734</v>
      </c>
      <c r="F361" s="120"/>
      <c r="G361" s="93">
        <f>G362</f>
        <v>4.8</v>
      </c>
      <c r="H361" s="167">
        <f>H362</f>
        <v>0</v>
      </c>
    </row>
    <row r="362" spans="1:8">
      <c r="A362" s="48" t="s">
        <v>378</v>
      </c>
      <c r="B362" s="120" t="s">
        <v>82</v>
      </c>
      <c r="C362" s="120" t="s">
        <v>154</v>
      </c>
      <c r="D362" s="120" t="s">
        <v>153</v>
      </c>
      <c r="E362" s="68" t="s">
        <v>734</v>
      </c>
      <c r="F362" s="120" t="s">
        <v>202</v>
      </c>
      <c r="G362" s="119">
        <v>4.8</v>
      </c>
      <c r="H362" s="167">
        <v>0</v>
      </c>
    </row>
    <row r="363" spans="1:8" ht="47.25">
      <c r="A363" s="48" t="s">
        <v>738</v>
      </c>
      <c r="B363" s="120" t="s">
        <v>82</v>
      </c>
      <c r="C363" s="120" t="s">
        <v>154</v>
      </c>
      <c r="D363" s="120" t="s">
        <v>153</v>
      </c>
      <c r="E363" s="68" t="s">
        <v>740</v>
      </c>
      <c r="F363" s="120"/>
      <c r="G363" s="119">
        <f>G364</f>
        <v>27378.400000000001</v>
      </c>
      <c r="H363" s="119">
        <f>H364</f>
        <v>0</v>
      </c>
    </row>
    <row r="364" spans="1:8">
      <c r="A364" s="48" t="s">
        <v>378</v>
      </c>
      <c r="B364" s="120" t="s">
        <v>82</v>
      </c>
      <c r="C364" s="120" t="s">
        <v>154</v>
      </c>
      <c r="D364" s="120" t="s">
        <v>153</v>
      </c>
      <c r="E364" s="68" t="s">
        <v>740</v>
      </c>
      <c r="F364" s="120" t="s">
        <v>202</v>
      </c>
      <c r="G364" s="167">
        <v>27378.400000000001</v>
      </c>
      <c r="H364" s="167">
        <v>0</v>
      </c>
    </row>
    <row r="365" spans="1:8" ht="63">
      <c r="A365" s="48" t="s">
        <v>739</v>
      </c>
      <c r="B365" s="120" t="s">
        <v>82</v>
      </c>
      <c r="C365" s="120" t="s">
        <v>154</v>
      </c>
      <c r="D365" s="120" t="s">
        <v>153</v>
      </c>
      <c r="E365" s="68" t="s">
        <v>740</v>
      </c>
      <c r="F365" s="120"/>
      <c r="G365" s="167">
        <f>G366</f>
        <v>257.47219999999999</v>
      </c>
      <c r="H365" s="167">
        <f>H366</f>
        <v>0</v>
      </c>
    </row>
    <row r="366" spans="1:8">
      <c r="A366" s="48" t="s">
        <v>378</v>
      </c>
      <c r="B366" s="120" t="s">
        <v>82</v>
      </c>
      <c r="C366" s="120" t="s">
        <v>154</v>
      </c>
      <c r="D366" s="120" t="s">
        <v>153</v>
      </c>
      <c r="E366" s="68" t="s">
        <v>740</v>
      </c>
      <c r="F366" s="120" t="s">
        <v>202</v>
      </c>
      <c r="G366" s="167">
        <v>257.47219999999999</v>
      </c>
      <c r="H366" s="167">
        <v>0</v>
      </c>
    </row>
    <row r="367" spans="1:8" ht="47.25">
      <c r="A367" s="48" t="s">
        <v>554</v>
      </c>
      <c r="B367" s="68" t="s">
        <v>82</v>
      </c>
      <c r="C367" s="68" t="s">
        <v>154</v>
      </c>
      <c r="D367" s="68" t="s">
        <v>153</v>
      </c>
      <c r="E367" s="120" t="s">
        <v>555</v>
      </c>
      <c r="F367" s="68"/>
      <c r="G367" s="167">
        <f>G368</f>
        <v>33747.800000000003</v>
      </c>
      <c r="H367" s="167">
        <f>H368</f>
        <v>0</v>
      </c>
    </row>
    <row r="368" spans="1:8">
      <c r="A368" s="48" t="s">
        <v>205</v>
      </c>
      <c r="B368" s="68" t="s">
        <v>82</v>
      </c>
      <c r="C368" s="68" t="s">
        <v>154</v>
      </c>
      <c r="D368" s="68" t="s">
        <v>153</v>
      </c>
      <c r="E368" s="120" t="s">
        <v>555</v>
      </c>
      <c r="F368" s="68" t="s">
        <v>202</v>
      </c>
      <c r="G368" s="167">
        <v>33747.800000000003</v>
      </c>
      <c r="H368" s="381">
        <v>0</v>
      </c>
    </row>
    <row r="369" spans="1:8" ht="63" hidden="1">
      <c r="A369" s="46" t="s">
        <v>570</v>
      </c>
      <c r="B369" s="68" t="s">
        <v>82</v>
      </c>
      <c r="C369" s="68" t="s">
        <v>154</v>
      </c>
      <c r="D369" s="68" t="s">
        <v>153</v>
      </c>
      <c r="E369" s="120" t="s">
        <v>703</v>
      </c>
      <c r="F369" s="68"/>
      <c r="G369" s="167">
        <f>G370</f>
        <v>0</v>
      </c>
      <c r="H369" s="381">
        <f>H370</f>
        <v>0</v>
      </c>
    </row>
    <row r="370" spans="1:8" hidden="1">
      <c r="A370" s="48" t="s">
        <v>205</v>
      </c>
      <c r="B370" s="68" t="s">
        <v>82</v>
      </c>
      <c r="C370" s="68" t="s">
        <v>154</v>
      </c>
      <c r="D370" s="68" t="s">
        <v>153</v>
      </c>
      <c r="E370" s="120" t="s">
        <v>703</v>
      </c>
      <c r="F370" s="68" t="s">
        <v>202</v>
      </c>
      <c r="G370" s="167">
        <v>0</v>
      </c>
      <c r="H370" s="381">
        <v>0</v>
      </c>
    </row>
    <row r="371" spans="1:8" ht="78.75" hidden="1">
      <c r="A371" s="46" t="s">
        <v>571</v>
      </c>
      <c r="B371" s="68" t="s">
        <v>82</v>
      </c>
      <c r="C371" s="68" t="s">
        <v>154</v>
      </c>
      <c r="D371" s="68" t="s">
        <v>153</v>
      </c>
      <c r="E371" s="120" t="s">
        <v>703</v>
      </c>
      <c r="F371" s="68"/>
      <c r="G371" s="167">
        <f>G372</f>
        <v>0</v>
      </c>
      <c r="H371" s="381">
        <f>H372</f>
        <v>0</v>
      </c>
    </row>
    <row r="372" spans="1:8" hidden="1">
      <c r="A372" s="48" t="s">
        <v>205</v>
      </c>
      <c r="B372" s="68" t="s">
        <v>82</v>
      </c>
      <c r="C372" s="68" t="s">
        <v>154</v>
      </c>
      <c r="D372" s="68" t="s">
        <v>153</v>
      </c>
      <c r="E372" s="120" t="s">
        <v>703</v>
      </c>
      <c r="F372" s="68" t="s">
        <v>202</v>
      </c>
      <c r="G372" s="167">
        <v>0</v>
      </c>
      <c r="H372" s="381">
        <v>0</v>
      </c>
    </row>
    <row r="373" spans="1:8" ht="31.5">
      <c r="A373" s="564" t="s">
        <v>969</v>
      </c>
      <c r="B373" s="155" t="s">
        <v>82</v>
      </c>
      <c r="C373" s="155" t="s">
        <v>154</v>
      </c>
      <c r="D373" s="155" t="s">
        <v>153</v>
      </c>
      <c r="E373" s="158" t="s">
        <v>713</v>
      </c>
      <c r="F373" s="155"/>
      <c r="G373" s="163">
        <f>G374</f>
        <v>787.48</v>
      </c>
      <c r="H373" s="163">
        <f>H374</f>
        <v>0</v>
      </c>
    </row>
    <row r="374" spans="1:8" ht="31.5">
      <c r="A374" s="564" t="s">
        <v>720</v>
      </c>
      <c r="B374" s="155" t="s">
        <v>82</v>
      </c>
      <c r="C374" s="155" t="s">
        <v>154</v>
      </c>
      <c r="D374" s="155" t="s">
        <v>153</v>
      </c>
      <c r="E374" s="158" t="s">
        <v>714</v>
      </c>
      <c r="F374" s="155"/>
      <c r="G374" s="163">
        <f>G375+G377+G379</f>
        <v>787.48</v>
      </c>
      <c r="H374" s="163">
        <f>H375+H377+H379</f>
        <v>0</v>
      </c>
    </row>
    <row r="375" spans="1:8" ht="31.5">
      <c r="A375" s="2" t="s">
        <v>763</v>
      </c>
      <c r="B375" s="68" t="s">
        <v>82</v>
      </c>
      <c r="C375" s="68" t="s">
        <v>154</v>
      </c>
      <c r="D375" s="68" t="s">
        <v>153</v>
      </c>
      <c r="E375" s="276" t="s">
        <v>719</v>
      </c>
      <c r="F375" s="172"/>
      <c r="G375" s="167">
        <f>G376</f>
        <v>152.19999999999999</v>
      </c>
      <c r="H375" s="167">
        <f>H376</f>
        <v>0</v>
      </c>
    </row>
    <row r="376" spans="1:8">
      <c r="A376" s="48" t="s">
        <v>205</v>
      </c>
      <c r="B376" s="68" t="s">
        <v>82</v>
      </c>
      <c r="C376" s="68" t="s">
        <v>154</v>
      </c>
      <c r="D376" s="68" t="s">
        <v>153</v>
      </c>
      <c r="E376" s="276" t="s">
        <v>719</v>
      </c>
      <c r="F376" s="172" t="s">
        <v>202</v>
      </c>
      <c r="G376" s="167">
        <v>152.19999999999999</v>
      </c>
      <c r="H376" s="167">
        <v>0</v>
      </c>
    </row>
    <row r="377" spans="1:8" ht="47.25">
      <c r="A377" s="138" t="s">
        <v>497</v>
      </c>
      <c r="B377" s="68" t="s">
        <v>82</v>
      </c>
      <c r="C377" s="68" t="s">
        <v>154</v>
      </c>
      <c r="D377" s="68" t="s">
        <v>153</v>
      </c>
      <c r="E377" s="172" t="s">
        <v>716</v>
      </c>
      <c r="F377" s="174"/>
      <c r="G377" s="167">
        <f>G378</f>
        <v>623</v>
      </c>
      <c r="H377" s="167">
        <f>H378</f>
        <v>0</v>
      </c>
    </row>
    <row r="378" spans="1:8">
      <c r="A378" s="48" t="s">
        <v>205</v>
      </c>
      <c r="B378" s="68" t="s">
        <v>82</v>
      </c>
      <c r="C378" s="68" t="s">
        <v>154</v>
      </c>
      <c r="D378" s="68" t="s">
        <v>153</v>
      </c>
      <c r="E378" s="172" t="s">
        <v>716</v>
      </c>
      <c r="F378" s="172" t="s">
        <v>202</v>
      </c>
      <c r="G378" s="167">
        <v>623</v>
      </c>
      <c r="H378" s="167">
        <v>0</v>
      </c>
    </row>
    <row r="379" spans="1:8" ht="47.25">
      <c r="A379" s="138" t="s">
        <v>498</v>
      </c>
      <c r="B379" s="68" t="s">
        <v>82</v>
      </c>
      <c r="C379" s="68" t="s">
        <v>154</v>
      </c>
      <c r="D379" s="68" t="s">
        <v>153</v>
      </c>
      <c r="E379" s="172" t="s">
        <v>716</v>
      </c>
      <c r="F379" s="174"/>
      <c r="G379" s="167">
        <f>G380</f>
        <v>12.28</v>
      </c>
      <c r="H379" s="167">
        <f>H380</f>
        <v>0</v>
      </c>
    </row>
    <row r="380" spans="1:8">
      <c r="A380" s="48" t="s">
        <v>378</v>
      </c>
      <c r="B380" s="68" t="s">
        <v>82</v>
      </c>
      <c r="C380" s="68" t="s">
        <v>154</v>
      </c>
      <c r="D380" s="68" t="s">
        <v>153</v>
      </c>
      <c r="E380" s="172" t="s">
        <v>716</v>
      </c>
      <c r="F380" s="172" t="s">
        <v>202</v>
      </c>
      <c r="G380" s="167">
        <v>12.28</v>
      </c>
      <c r="H380" s="167">
        <v>0</v>
      </c>
    </row>
    <row r="381" spans="1:8">
      <c r="A381" s="52" t="s">
        <v>359</v>
      </c>
      <c r="B381" s="75" t="s">
        <v>82</v>
      </c>
      <c r="C381" s="75" t="s">
        <v>154</v>
      </c>
      <c r="D381" s="75" t="s">
        <v>153</v>
      </c>
      <c r="E381" s="301" t="s">
        <v>1134</v>
      </c>
      <c r="F381" s="301"/>
      <c r="G381" s="318">
        <f>G385+G387+G389+G393+G399+G405</f>
        <v>0</v>
      </c>
      <c r="H381" s="318">
        <f>H382+H385+H387+H389+H391+H393+H395+H399+H401+H405+H407+H397+H403+H383</f>
        <v>641564.84843000013</v>
      </c>
    </row>
    <row r="382" spans="1:8" ht="47.25">
      <c r="A382" s="48" t="s">
        <v>204</v>
      </c>
      <c r="B382" s="68" t="s">
        <v>82</v>
      </c>
      <c r="C382" s="68" t="s">
        <v>154</v>
      </c>
      <c r="D382" s="68" t="s">
        <v>153</v>
      </c>
      <c r="E382" s="120" t="s">
        <v>1140</v>
      </c>
      <c r="F382" s="68" t="s">
        <v>319</v>
      </c>
      <c r="G382" s="119">
        <v>0</v>
      </c>
      <c r="H382" s="119">
        <f>71566.18408-300-40+158-1635.2+15000-1433.92984-200-295.487-1000-320-200-59.42211+209.42211-59.42211-320.3-16255.354-2825.3427-10+82</f>
        <v>62061.148430000016</v>
      </c>
    </row>
    <row r="383" spans="1:8" ht="63">
      <c r="A383" s="46" t="s">
        <v>570</v>
      </c>
      <c r="B383" s="68" t="s">
        <v>82</v>
      </c>
      <c r="C383" s="68" t="s">
        <v>154</v>
      </c>
      <c r="D383" s="68" t="s">
        <v>153</v>
      </c>
      <c r="E383" s="120" t="s">
        <v>1248</v>
      </c>
      <c r="F383" s="68"/>
      <c r="G383" s="119">
        <v>0</v>
      </c>
      <c r="H383" s="119">
        <f>H384</f>
        <v>50000</v>
      </c>
    </row>
    <row r="384" spans="1:8">
      <c r="A384" s="48" t="s">
        <v>205</v>
      </c>
      <c r="B384" s="68" t="s">
        <v>82</v>
      </c>
      <c r="C384" s="68" t="s">
        <v>154</v>
      </c>
      <c r="D384" s="68" t="s">
        <v>153</v>
      </c>
      <c r="E384" s="120" t="s">
        <v>1248</v>
      </c>
      <c r="F384" s="68" t="s">
        <v>202</v>
      </c>
      <c r="G384" s="119">
        <v>0</v>
      </c>
      <c r="H384" s="119">
        <v>50000</v>
      </c>
    </row>
    <row r="385" spans="1:8" ht="47.25">
      <c r="A385" s="138" t="s">
        <v>497</v>
      </c>
      <c r="B385" s="68" t="s">
        <v>82</v>
      </c>
      <c r="C385" s="68" t="s">
        <v>154</v>
      </c>
      <c r="D385" s="68" t="s">
        <v>153</v>
      </c>
      <c r="E385" s="172" t="s">
        <v>1135</v>
      </c>
      <c r="F385" s="172"/>
      <c r="G385" s="167">
        <f t="shared" ref="G385" si="25">G386</f>
        <v>0</v>
      </c>
      <c r="H385" s="167">
        <f t="shared" ref="H385" si="26">H386</f>
        <v>623</v>
      </c>
    </row>
    <row r="386" spans="1:8">
      <c r="A386" s="48" t="s">
        <v>205</v>
      </c>
      <c r="B386" s="68" t="s">
        <v>82</v>
      </c>
      <c r="C386" s="68" t="s">
        <v>154</v>
      </c>
      <c r="D386" s="68" t="s">
        <v>153</v>
      </c>
      <c r="E386" s="172" t="s">
        <v>1135</v>
      </c>
      <c r="F386" s="172" t="s">
        <v>202</v>
      </c>
      <c r="G386" s="167">
        <v>0</v>
      </c>
      <c r="H386" s="167">
        <v>623</v>
      </c>
    </row>
    <row r="387" spans="1:8" ht="31.5">
      <c r="A387" s="49" t="s">
        <v>275</v>
      </c>
      <c r="B387" s="67" t="s">
        <v>82</v>
      </c>
      <c r="C387" s="67" t="s">
        <v>154</v>
      </c>
      <c r="D387" s="67" t="s">
        <v>153</v>
      </c>
      <c r="E387" s="68" t="s">
        <v>1141</v>
      </c>
      <c r="F387" s="67"/>
      <c r="G387" s="167">
        <f>G388</f>
        <v>0</v>
      </c>
      <c r="H387" s="167">
        <f>H388</f>
        <v>7511.4</v>
      </c>
    </row>
    <row r="388" spans="1:8">
      <c r="A388" s="48" t="s">
        <v>205</v>
      </c>
      <c r="B388" s="68" t="s">
        <v>82</v>
      </c>
      <c r="C388" s="68" t="s">
        <v>154</v>
      </c>
      <c r="D388" s="68" t="s">
        <v>153</v>
      </c>
      <c r="E388" s="68" t="s">
        <v>1141</v>
      </c>
      <c r="F388" s="68" t="s">
        <v>202</v>
      </c>
      <c r="G388" s="167">
        <v>0</v>
      </c>
      <c r="H388" s="167">
        <v>7511.4</v>
      </c>
    </row>
    <row r="389" spans="1:8" ht="78.75">
      <c r="A389" s="49" t="s">
        <v>500</v>
      </c>
      <c r="B389" s="67" t="s">
        <v>82</v>
      </c>
      <c r="C389" s="67" t="s">
        <v>154</v>
      </c>
      <c r="D389" s="67" t="s">
        <v>153</v>
      </c>
      <c r="E389" s="67" t="s">
        <v>1142</v>
      </c>
      <c r="F389" s="67"/>
      <c r="G389" s="167">
        <f>G390</f>
        <v>0</v>
      </c>
      <c r="H389" s="167">
        <f>H390</f>
        <v>292514.5</v>
      </c>
    </row>
    <row r="390" spans="1:8">
      <c r="A390" s="48" t="s">
        <v>205</v>
      </c>
      <c r="B390" s="68" t="s">
        <v>82</v>
      </c>
      <c r="C390" s="68" t="s">
        <v>154</v>
      </c>
      <c r="D390" s="68" t="s">
        <v>153</v>
      </c>
      <c r="E390" s="67" t="s">
        <v>1142</v>
      </c>
      <c r="F390" s="68" t="s">
        <v>202</v>
      </c>
      <c r="G390" s="169">
        <v>0</v>
      </c>
      <c r="H390" s="169">
        <v>292514.5</v>
      </c>
    </row>
    <row r="391" spans="1:8">
      <c r="A391" s="49" t="s">
        <v>179</v>
      </c>
      <c r="B391" s="68" t="s">
        <v>82</v>
      </c>
      <c r="C391" s="67" t="s">
        <v>154</v>
      </c>
      <c r="D391" s="67" t="s">
        <v>153</v>
      </c>
      <c r="E391" s="68" t="s">
        <v>1143</v>
      </c>
      <c r="F391" s="67"/>
      <c r="G391" s="167">
        <f>G392</f>
        <v>0</v>
      </c>
      <c r="H391" s="167">
        <f>H392</f>
        <v>5806.1</v>
      </c>
    </row>
    <row r="392" spans="1:8">
      <c r="A392" s="48" t="s">
        <v>205</v>
      </c>
      <c r="B392" s="68" t="s">
        <v>82</v>
      </c>
      <c r="C392" s="68" t="s">
        <v>154</v>
      </c>
      <c r="D392" s="68" t="s">
        <v>153</v>
      </c>
      <c r="E392" s="68" t="s">
        <v>1143</v>
      </c>
      <c r="F392" s="68" t="s">
        <v>202</v>
      </c>
      <c r="G392" s="169">
        <v>0</v>
      </c>
      <c r="H392" s="169">
        <v>5806.1</v>
      </c>
    </row>
    <row r="393" spans="1:8" ht="47.25">
      <c r="A393" s="48" t="s">
        <v>552</v>
      </c>
      <c r="B393" s="120" t="s">
        <v>82</v>
      </c>
      <c r="C393" s="129" t="s">
        <v>154</v>
      </c>
      <c r="D393" s="129" t="s">
        <v>153</v>
      </c>
      <c r="E393" s="120" t="s">
        <v>1144</v>
      </c>
      <c r="F393" s="129"/>
      <c r="G393" s="167">
        <f>G394</f>
        <v>0</v>
      </c>
      <c r="H393" s="381">
        <f>H394</f>
        <v>12565.4</v>
      </c>
    </row>
    <row r="394" spans="1:8">
      <c r="A394" s="48" t="s">
        <v>205</v>
      </c>
      <c r="B394" s="68" t="s">
        <v>82</v>
      </c>
      <c r="C394" s="68" t="s">
        <v>154</v>
      </c>
      <c r="D394" s="68" t="s">
        <v>153</v>
      </c>
      <c r="E394" s="120" t="s">
        <v>1144</v>
      </c>
      <c r="F394" s="68" t="s">
        <v>202</v>
      </c>
      <c r="G394" s="169">
        <v>0</v>
      </c>
      <c r="H394" s="169">
        <v>12565.4</v>
      </c>
    </row>
    <row r="395" spans="1:8" ht="63">
      <c r="A395" s="48" t="s">
        <v>553</v>
      </c>
      <c r="B395" s="68" t="s">
        <v>82</v>
      </c>
      <c r="C395" s="68" t="s">
        <v>154</v>
      </c>
      <c r="D395" s="68" t="s">
        <v>153</v>
      </c>
      <c r="E395" s="120" t="s">
        <v>1144</v>
      </c>
      <c r="F395" s="68"/>
      <c r="G395" s="167">
        <f>G396</f>
        <v>0</v>
      </c>
      <c r="H395" s="381">
        <f>H396</f>
        <v>12565.4</v>
      </c>
    </row>
    <row r="396" spans="1:8">
      <c r="A396" s="48" t="s">
        <v>205</v>
      </c>
      <c r="B396" s="68" t="s">
        <v>82</v>
      </c>
      <c r="C396" s="68" t="s">
        <v>154</v>
      </c>
      <c r="D396" s="68" t="s">
        <v>153</v>
      </c>
      <c r="E396" s="120" t="s">
        <v>1144</v>
      </c>
      <c r="F396" s="68" t="s">
        <v>202</v>
      </c>
      <c r="G396" s="167">
        <v>0</v>
      </c>
      <c r="H396" s="381">
        <v>12565.4</v>
      </c>
    </row>
    <row r="397" spans="1:8" ht="47.25">
      <c r="A397" s="48" t="s">
        <v>738</v>
      </c>
      <c r="B397" s="120" t="s">
        <v>82</v>
      </c>
      <c r="C397" s="120" t="s">
        <v>154</v>
      </c>
      <c r="D397" s="120" t="s">
        <v>153</v>
      </c>
      <c r="E397" s="68" t="s">
        <v>740</v>
      </c>
      <c r="F397" s="120"/>
      <c r="G397" s="167">
        <v>0</v>
      </c>
      <c r="H397" s="381">
        <f>H398</f>
        <v>27270.799999999999</v>
      </c>
    </row>
    <row r="398" spans="1:8">
      <c r="A398" s="48" t="s">
        <v>378</v>
      </c>
      <c r="B398" s="120" t="s">
        <v>82</v>
      </c>
      <c r="C398" s="120" t="s">
        <v>154</v>
      </c>
      <c r="D398" s="120" t="s">
        <v>153</v>
      </c>
      <c r="E398" s="68" t="s">
        <v>740</v>
      </c>
      <c r="F398" s="120" t="s">
        <v>202</v>
      </c>
      <c r="G398" s="167">
        <v>0</v>
      </c>
      <c r="H398" s="381">
        <v>27270.799999999999</v>
      </c>
    </row>
    <row r="399" spans="1:8" ht="47.25">
      <c r="A399" s="48" t="s">
        <v>522</v>
      </c>
      <c r="B399" s="129" t="s">
        <v>82</v>
      </c>
      <c r="C399" s="129" t="s">
        <v>154</v>
      </c>
      <c r="D399" s="129" t="s">
        <v>153</v>
      </c>
      <c r="E399" s="68" t="s">
        <v>1145</v>
      </c>
      <c r="F399" s="129"/>
      <c r="G399" s="167">
        <f>G400</f>
        <v>0</v>
      </c>
      <c r="H399" s="381">
        <f>H400</f>
        <v>122321.3</v>
      </c>
    </row>
    <row r="400" spans="1:8">
      <c r="A400" s="48" t="s">
        <v>378</v>
      </c>
      <c r="B400" s="120" t="s">
        <v>82</v>
      </c>
      <c r="C400" s="120" t="s">
        <v>154</v>
      </c>
      <c r="D400" s="120" t="s">
        <v>153</v>
      </c>
      <c r="E400" s="68" t="s">
        <v>1145</v>
      </c>
      <c r="F400" s="129" t="s">
        <v>202</v>
      </c>
      <c r="G400" s="93">
        <v>0</v>
      </c>
      <c r="H400" s="93">
        <f>115068.8+7252.5</f>
        <v>122321.3</v>
      </c>
    </row>
    <row r="401" spans="1:14" ht="63">
      <c r="A401" s="48" t="s">
        <v>527</v>
      </c>
      <c r="B401" s="129" t="s">
        <v>82</v>
      </c>
      <c r="C401" s="129" t="s">
        <v>154</v>
      </c>
      <c r="D401" s="129" t="s">
        <v>153</v>
      </c>
      <c r="E401" s="68" t="s">
        <v>1145</v>
      </c>
      <c r="F401" s="129"/>
      <c r="G401" s="93">
        <f>G402</f>
        <v>0</v>
      </c>
      <c r="H401" s="167">
        <f>H402</f>
        <v>12920.5</v>
      </c>
    </row>
    <row r="402" spans="1:14">
      <c r="A402" s="48" t="s">
        <v>378</v>
      </c>
      <c r="B402" s="120" t="s">
        <v>82</v>
      </c>
      <c r="C402" s="120" t="s">
        <v>154</v>
      </c>
      <c r="D402" s="120" t="s">
        <v>153</v>
      </c>
      <c r="E402" s="68" t="s">
        <v>1145</v>
      </c>
      <c r="F402" s="120" t="s">
        <v>202</v>
      </c>
      <c r="G402" s="93">
        <v>0</v>
      </c>
      <c r="H402" s="93">
        <v>12920.5</v>
      </c>
    </row>
    <row r="403" spans="1:14" ht="47.25">
      <c r="A403" s="48" t="s">
        <v>554</v>
      </c>
      <c r="B403" s="68" t="s">
        <v>82</v>
      </c>
      <c r="C403" s="68" t="s">
        <v>154</v>
      </c>
      <c r="D403" s="68" t="s">
        <v>153</v>
      </c>
      <c r="E403" s="120" t="s">
        <v>555</v>
      </c>
      <c r="F403" s="68"/>
      <c r="G403" s="93">
        <v>0</v>
      </c>
      <c r="H403" s="93">
        <f>H404</f>
        <v>33747.800000000003</v>
      </c>
    </row>
    <row r="404" spans="1:14">
      <c r="A404" s="48" t="s">
        <v>205</v>
      </c>
      <c r="B404" s="68" t="s">
        <v>82</v>
      </c>
      <c r="C404" s="68" t="s">
        <v>154</v>
      </c>
      <c r="D404" s="68" t="s">
        <v>153</v>
      </c>
      <c r="E404" s="120" t="s">
        <v>555</v>
      </c>
      <c r="F404" s="68" t="s">
        <v>202</v>
      </c>
      <c r="G404" s="93">
        <v>0</v>
      </c>
      <c r="H404" s="93">
        <v>33747.800000000003</v>
      </c>
    </row>
    <row r="405" spans="1:14" ht="110.25">
      <c r="A405" s="48" t="s">
        <v>1132</v>
      </c>
      <c r="B405" s="120" t="s">
        <v>82</v>
      </c>
      <c r="C405" s="120" t="s">
        <v>154</v>
      </c>
      <c r="D405" s="120" t="s">
        <v>153</v>
      </c>
      <c r="E405" s="68" t="s">
        <v>1146</v>
      </c>
      <c r="F405" s="120"/>
      <c r="G405" s="93">
        <f>G406</f>
        <v>0</v>
      </c>
      <c r="H405" s="167">
        <f>H406</f>
        <v>1652.7</v>
      </c>
    </row>
    <row r="406" spans="1:14">
      <c r="A406" s="48" t="s">
        <v>378</v>
      </c>
      <c r="B406" s="120" t="s">
        <v>82</v>
      </c>
      <c r="C406" s="120" t="s">
        <v>154</v>
      </c>
      <c r="D406" s="120" t="s">
        <v>153</v>
      </c>
      <c r="E406" s="68" t="s">
        <v>1146</v>
      </c>
      <c r="F406" s="120" t="s">
        <v>202</v>
      </c>
      <c r="G406" s="93">
        <v>0</v>
      </c>
      <c r="H406" s="93">
        <v>1652.7</v>
      </c>
    </row>
    <row r="407" spans="1:14" ht="110.25">
      <c r="A407" s="48" t="s">
        <v>1133</v>
      </c>
      <c r="B407" s="120" t="s">
        <v>82</v>
      </c>
      <c r="C407" s="120" t="s">
        <v>154</v>
      </c>
      <c r="D407" s="120" t="s">
        <v>153</v>
      </c>
      <c r="E407" s="68" t="s">
        <v>1146</v>
      </c>
      <c r="F407" s="120"/>
      <c r="G407" s="93">
        <f>G408</f>
        <v>0</v>
      </c>
      <c r="H407" s="167">
        <f>H408</f>
        <v>4.8</v>
      </c>
    </row>
    <row r="408" spans="1:14">
      <c r="A408" s="48" t="s">
        <v>378</v>
      </c>
      <c r="B408" s="120" t="s">
        <v>82</v>
      </c>
      <c r="C408" s="120" t="s">
        <v>154</v>
      </c>
      <c r="D408" s="120" t="s">
        <v>153</v>
      </c>
      <c r="E408" s="68" t="s">
        <v>1146</v>
      </c>
      <c r="F408" s="120" t="s">
        <v>202</v>
      </c>
      <c r="G408" s="119">
        <v>0</v>
      </c>
      <c r="H408" s="167">
        <v>4.8</v>
      </c>
    </row>
    <row r="409" spans="1:14" ht="47.25">
      <c r="A409" s="637" t="s">
        <v>1123</v>
      </c>
      <c r="B409" s="515" t="s">
        <v>82</v>
      </c>
      <c r="C409" s="515" t="s">
        <v>154</v>
      </c>
      <c r="D409" s="515" t="s">
        <v>153</v>
      </c>
      <c r="E409" s="515" t="s">
        <v>762</v>
      </c>
      <c r="F409" s="515"/>
      <c r="G409" s="377">
        <f>G410</f>
        <v>59.422110000000004</v>
      </c>
      <c r="H409" s="737">
        <f>H410</f>
        <v>59.422110000000004</v>
      </c>
    </row>
    <row r="410" spans="1:14" ht="31.5">
      <c r="A410" s="585" t="s">
        <v>761</v>
      </c>
      <c r="B410" s="68" t="s">
        <v>82</v>
      </c>
      <c r="C410" s="68" t="s">
        <v>154</v>
      </c>
      <c r="D410" s="68" t="s">
        <v>153</v>
      </c>
      <c r="E410" s="172" t="s">
        <v>762</v>
      </c>
      <c r="F410" s="172"/>
      <c r="G410" s="119">
        <f>G411</f>
        <v>59.422110000000004</v>
      </c>
      <c r="H410" s="381">
        <f>H411</f>
        <v>59.422110000000004</v>
      </c>
    </row>
    <row r="411" spans="1:14">
      <c r="A411" s="48" t="s">
        <v>378</v>
      </c>
      <c r="B411" s="68" t="s">
        <v>82</v>
      </c>
      <c r="C411" s="68" t="s">
        <v>154</v>
      </c>
      <c r="D411" s="68" t="s">
        <v>153</v>
      </c>
      <c r="E411" s="172" t="s">
        <v>762</v>
      </c>
      <c r="F411" s="172" t="s">
        <v>202</v>
      </c>
      <c r="G411" s="119">
        <v>59.422110000000004</v>
      </c>
      <c r="H411" s="381">
        <v>59.422110000000004</v>
      </c>
    </row>
    <row r="412" spans="1:14" ht="31.5">
      <c r="A412" s="496" t="s">
        <v>1116</v>
      </c>
      <c r="B412" s="515" t="s">
        <v>82</v>
      </c>
      <c r="C412" s="515" t="s">
        <v>154</v>
      </c>
      <c r="D412" s="515" t="s">
        <v>153</v>
      </c>
      <c r="E412" s="515" t="s">
        <v>783</v>
      </c>
      <c r="F412" s="515"/>
      <c r="G412" s="377">
        <f>G413</f>
        <v>450</v>
      </c>
      <c r="H412" s="737">
        <f>H413</f>
        <v>0</v>
      </c>
    </row>
    <row r="413" spans="1:14" ht="31.5">
      <c r="A413" s="164" t="s">
        <v>785</v>
      </c>
      <c r="B413" s="68" t="s">
        <v>82</v>
      </c>
      <c r="C413" s="68" t="s">
        <v>154</v>
      </c>
      <c r="D413" s="68" t="s">
        <v>153</v>
      </c>
      <c r="E413" s="172" t="s">
        <v>784</v>
      </c>
      <c r="F413" s="172"/>
      <c r="G413" s="119">
        <f>G414</f>
        <v>450</v>
      </c>
      <c r="H413" s="381">
        <f>H414</f>
        <v>0</v>
      </c>
    </row>
    <row r="414" spans="1:14">
      <c r="A414" s="48" t="s">
        <v>378</v>
      </c>
      <c r="B414" s="68" t="s">
        <v>82</v>
      </c>
      <c r="C414" s="68" t="s">
        <v>154</v>
      </c>
      <c r="D414" s="68" t="s">
        <v>153</v>
      </c>
      <c r="E414" s="172" t="s">
        <v>784</v>
      </c>
      <c r="F414" s="172" t="s">
        <v>202</v>
      </c>
      <c r="G414" s="119">
        <f>450</f>
        <v>450</v>
      </c>
      <c r="H414" s="381">
        <v>0</v>
      </c>
    </row>
    <row r="415" spans="1:14" s="170" customFormat="1">
      <c r="A415" s="269" t="s">
        <v>364</v>
      </c>
      <c r="B415" s="271" t="s">
        <v>82</v>
      </c>
      <c r="C415" s="271" t="s">
        <v>154</v>
      </c>
      <c r="D415" s="271" t="s">
        <v>155</v>
      </c>
      <c r="E415" s="271"/>
      <c r="F415" s="271"/>
      <c r="G415" s="94">
        <f>G418</f>
        <v>22352.449999999997</v>
      </c>
      <c r="H415" s="94">
        <f>H418+H425</f>
        <v>22352.449999999997</v>
      </c>
      <c r="I415" s="171"/>
      <c r="J415" s="171"/>
      <c r="K415" s="171"/>
      <c r="L415" s="171"/>
      <c r="M415" s="171"/>
      <c r="N415" s="171"/>
    </row>
    <row r="416" spans="1:14" s="170" customFormat="1" ht="32.25" customHeight="1">
      <c r="A416" s="142" t="s">
        <v>946</v>
      </c>
      <c r="B416" s="120" t="s">
        <v>82</v>
      </c>
      <c r="C416" s="153" t="s">
        <v>154</v>
      </c>
      <c r="D416" s="153" t="s">
        <v>155</v>
      </c>
      <c r="E416" s="153" t="s">
        <v>581</v>
      </c>
      <c r="F416" s="153"/>
      <c r="G416" s="162">
        <f>G417</f>
        <v>22352.449999999997</v>
      </c>
      <c r="H416" s="162">
        <f>H417</f>
        <v>0</v>
      </c>
      <c r="I416" s="171"/>
      <c r="J416" s="171"/>
      <c r="K416" s="171"/>
      <c r="L416" s="171"/>
      <c r="M416" s="171"/>
      <c r="N416" s="171"/>
    </row>
    <row r="417" spans="1:14" s="170" customFormat="1" ht="32.25" customHeight="1">
      <c r="A417" s="147" t="s">
        <v>348</v>
      </c>
      <c r="B417" s="120" t="s">
        <v>82</v>
      </c>
      <c r="C417" s="155" t="s">
        <v>154</v>
      </c>
      <c r="D417" s="155" t="s">
        <v>155</v>
      </c>
      <c r="E417" s="155" t="s">
        <v>592</v>
      </c>
      <c r="F417" s="155"/>
      <c r="G417" s="163">
        <f>G418</f>
        <v>22352.449999999997</v>
      </c>
      <c r="H417" s="163">
        <f>H418</f>
        <v>0</v>
      </c>
      <c r="I417" s="171"/>
      <c r="J417" s="171"/>
      <c r="K417" s="171"/>
      <c r="L417" s="171"/>
      <c r="M417" s="171"/>
      <c r="N417" s="171"/>
    </row>
    <row r="418" spans="1:14" s="170" customFormat="1" ht="32.25" customHeight="1">
      <c r="A418" s="147" t="s">
        <v>593</v>
      </c>
      <c r="B418" s="120" t="s">
        <v>82</v>
      </c>
      <c r="C418" s="155" t="s">
        <v>154</v>
      </c>
      <c r="D418" s="155" t="s">
        <v>155</v>
      </c>
      <c r="E418" s="155" t="s">
        <v>594</v>
      </c>
      <c r="F418" s="155"/>
      <c r="G418" s="163">
        <f>G419+G421+G423</f>
        <v>22352.449999999997</v>
      </c>
      <c r="H418" s="163">
        <f>H419+H421+H423</f>
        <v>0</v>
      </c>
      <c r="I418" s="171"/>
      <c r="J418" s="171"/>
      <c r="K418" s="171"/>
      <c r="L418" s="171"/>
      <c r="M418" s="171"/>
      <c r="N418" s="171"/>
    </row>
    <row r="419" spans="1:14" s="170" customFormat="1" ht="32.25" customHeight="1">
      <c r="A419" s="122" t="s">
        <v>125</v>
      </c>
      <c r="B419" s="120" t="s">
        <v>82</v>
      </c>
      <c r="C419" s="129" t="s">
        <v>154</v>
      </c>
      <c r="D419" s="129" t="s">
        <v>155</v>
      </c>
      <c r="E419" s="120" t="s">
        <v>595</v>
      </c>
      <c r="F419" s="129"/>
      <c r="G419" s="119">
        <f>G420</f>
        <v>10916.6</v>
      </c>
      <c r="H419" s="119">
        <f>H420</f>
        <v>0</v>
      </c>
      <c r="I419" s="171"/>
      <c r="J419" s="171"/>
      <c r="K419" s="171"/>
      <c r="L419" s="171"/>
      <c r="M419" s="171"/>
      <c r="N419" s="171"/>
    </row>
    <row r="420" spans="1:14" s="170" customFormat="1" ht="32.25" customHeight="1">
      <c r="A420" s="138" t="s">
        <v>205</v>
      </c>
      <c r="B420" s="120" t="s">
        <v>82</v>
      </c>
      <c r="C420" s="120" t="s">
        <v>154</v>
      </c>
      <c r="D420" s="120" t="s">
        <v>155</v>
      </c>
      <c r="E420" s="120" t="s">
        <v>595</v>
      </c>
      <c r="F420" s="120" t="s">
        <v>202</v>
      </c>
      <c r="G420" s="119">
        <v>10916.6</v>
      </c>
      <c r="H420" s="119">
        <v>0</v>
      </c>
      <c r="I420" s="171"/>
      <c r="J420" s="171"/>
      <c r="K420" s="171"/>
      <c r="L420" s="171"/>
      <c r="M420" s="171"/>
      <c r="N420" s="171"/>
    </row>
    <row r="421" spans="1:14" s="170" customFormat="1" ht="32.25" customHeight="1">
      <c r="A421" s="122" t="s">
        <v>491</v>
      </c>
      <c r="B421" s="120" t="s">
        <v>82</v>
      </c>
      <c r="C421" s="129" t="s">
        <v>154</v>
      </c>
      <c r="D421" s="129" t="s">
        <v>155</v>
      </c>
      <c r="E421" s="120" t="s">
        <v>595</v>
      </c>
      <c r="F421" s="129"/>
      <c r="G421" s="119">
        <f>G422</f>
        <v>6460.25</v>
      </c>
      <c r="H421" s="119">
        <f>H422</f>
        <v>0</v>
      </c>
      <c r="I421" s="171"/>
      <c r="J421" s="171"/>
      <c r="K421" s="171"/>
      <c r="L421" s="171"/>
      <c r="M421" s="171"/>
      <c r="N421" s="171"/>
    </row>
    <row r="422" spans="1:14" s="170" customFormat="1">
      <c r="A422" s="138" t="s">
        <v>205</v>
      </c>
      <c r="B422" s="120" t="s">
        <v>82</v>
      </c>
      <c r="C422" s="120" t="s">
        <v>154</v>
      </c>
      <c r="D422" s="120" t="s">
        <v>155</v>
      </c>
      <c r="E422" s="120" t="s">
        <v>595</v>
      </c>
      <c r="F422" s="120" t="s">
        <v>202</v>
      </c>
      <c r="G422" s="119">
        <v>6460.25</v>
      </c>
      <c r="H422" s="119">
        <v>0</v>
      </c>
      <c r="I422" s="171"/>
      <c r="J422" s="171"/>
      <c r="K422" s="171"/>
      <c r="L422" s="171"/>
      <c r="M422" s="171"/>
      <c r="N422" s="171"/>
    </row>
    <row r="423" spans="1:14" s="170" customFormat="1" ht="32.25" customHeight="1">
      <c r="A423" s="173" t="s">
        <v>292</v>
      </c>
      <c r="B423" s="120" t="s">
        <v>82</v>
      </c>
      <c r="C423" s="120" t="s">
        <v>154</v>
      </c>
      <c r="D423" s="120" t="s">
        <v>155</v>
      </c>
      <c r="E423" s="120" t="s">
        <v>596</v>
      </c>
      <c r="F423" s="120"/>
      <c r="G423" s="119">
        <f>G424</f>
        <v>4975.6000000000004</v>
      </c>
      <c r="H423" s="119">
        <f>H424</f>
        <v>0</v>
      </c>
      <c r="I423" s="171"/>
      <c r="J423" s="171"/>
      <c r="K423" s="171"/>
      <c r="L423" s="171"/>
      <c r="M423" s="171"/>
      <c r="N423" s="171"/>
    </row>
    <row r="424" spans="1:14" s="170" customFormat="1" ht="32.25" customHeight="1">
      <c r="A424" s="138" t="s">
        <v>204</v>
      </c>
      <c r="B424" s="120" t="s">
        <v>82</v>
      </c>
      <c r="C424" s="120" t="s">
        <v>154</v>
      </c>
      <c r="D424" s="120" t="s">
        <v>155</v>
      </c>
      <c r="E424" s="120" t="s">
        <v>596</v>
      </c>
      <c r="F424" s="120" t="s">
        <v>319</v>
      </c>
      <c r="G424" s="119">
        <v>4975.6000000000004</v>
      </c>
      <c r="H424" s="119">
        <v>0</v>
      </c>
      <c r="I424" s="171"/>
      <c r="J424" s="171"/>
      <c r="K424" s="171"/>
      <c r="L424" s="171"/>
      <c r="M424" s="171"/>
      <c r="N424" s="171"/>
    </row>
    <row r="425" spans="1:14" s="170" customFormat="1">
      <c r="A425" s="138" t="s">
        <v>359</v>
      </c>
      <c r="B425" s="120" t="s">
        <v>82</v>
      </c>
      <c r="C425" s="120" t="s">
        <v>154</v>
      </c>
      <c r="D425" s="120" t="s">
        <v>155</v>
      </c>
      <c r="E425" s="120" t="s">
        <v>384</v>
      </c>
      <c r="F425" s="120"/>
      <c r="G425" s="260">
        <v>0</v>
      </c>
      <c r="H425" s="119">
        <f>H426+H428+H430</f>
        <v>22352.449999999997</v>
      </c>
      <c r="I425" s="171"/>
      <c r="J425" s="171"/>
      <c r="K425" s="171"/>
      <c r="L425" s="171"/>
      <c r="M425" s="171"/>
      <c r="N425" s="171"/>
    </row>
    <row r="426" spans="1:14" s="170" customFormat="1" ht="31.5">
      <c r="A426" s="122" t="s">
        <v>125</v>
      </c>
      <c r="B426" s="120" t="s">
        <v>82</v>
      </c>
      <c r="C426" s="129" t="s">
        <v>154</v>
      </c>
      <c r="D426" s="129" t="s">
        <v>155</v>
      </c>
      <c r="E426" s="120" t="s">
        <v>1147</v>
      </c>
      <c r="F426" s="129"/>
      <c r="G426" s="119">
        <f>G427</f>
        <v>0</v>
      </c>
      <c r="H426" s="119">
        <f>H427</f>
        <v>10916.6</v>
      </c>
      <c r="I426" s="171"/>
      <c r="J426" s="171"/>
      <c r="K426" s="171"/>
      <c r="L426" s="171"/>
      <c r="M426" s="171"/>
      <c r="N426" s="171"/>
    </row>
    <row r="427" spans="1:14" s="170" customFormat="1">
      <c r="A427" s="138" t="s">
        <v>205</v>
      </c>
      <c r="B427" s="120" t="s">
        <v>82</v>
      </c>
      <c r="C427" s="120" t="s">
        <v>154</v>
      </c>
      <c r="D427" s="120" t="s">
        <v>155</v>
      </c>
      <c r="E427" s="120" t="s">
        <v>1147</v>
      </c>
      <c r="F427" s="120" t="s">
        <v>202</v>
      </c>
      <c r="G427" s="119">
        <v>0</v>
      </c>
      <c r="H427" s="119">
        <v>10916.6</v>
      </c>
      <c r="I427" s="171"/>
      <c r="J427" s="171"/>
      <c r="K427" s="171"/>
      <c r="L427" s="171"/>
      <c r="M427" s="171"/>
      <c r="N427" s="171"/>
    </row>
    <row r="428" spans="1:14" s="170" customFormat="1" ht="47.25">
      <c r="A428" s="122" t="s">
        <v>491</v>
      </c>
      <c r="B428" s="120" t="s">
        <v>82</v>
      </c>
      <c r="C428" s="129" t="s">
        <v>154</v>
      </c>
      <c r="D428" s="129" t="s">
        <v>155</v>
      </c>
      <c r="E428" s="120" t="s">
        <v>1147</v>
      </c>
      <c r="F428" s="129"/>
      <c r="G428" s="119">
        <f>G429</f>
        <v>0</v>
      </c>
      <c r="H428" s="119">
        <f>H429</f>
        <v>6460.25</v>
      </c>
      <c r="I428" s="171"/>
      <c r="J428" s="171"/>
      <c r="K428" s="171"/>
      <c r="L428" s="171"/>
      <c r="M428" s="171"/>
      <c r="N428" s="171"/>
    </row>
    <row r="429" spans="1:14" s="170" customFormat="1">
      <c r="A429" s="138" t="s">
        <v>205</v>
      </c>
      <c r="B429" s="120" t="s">
        <v>82</v>
      </c>
      <c r="C429" s="120" t="s">
        <v>154</v>
      </c>
      <c r="D429" s="120" t="s">
        <v>155</v>
      </c>
      <c r="E429" s="120" t="s">
        <v>1147</v>
      </c>
      <c r="F429" s="120" t="s">
        <v>202</v>
      </c>
      <c r="G429" s="119">
        <v>0</v>
      </c>
      <c r="H429" s="119">
        <v>6460.25</v>
      </c>
      <c r="I429" s="171"/>
      <c r="J429" s="171"/>
      <c r="K429" s="171"/>
      <c r="L429" s="171"/>
      <c r="M429" s="171"/>
      <c r="N429" s="171"/>
    </row>
    <row r="430" spans="1:14" s="170" customFormat="1" ht="31.5">
      <c r="A430" s="173" t="s">
        <v>292</v>
      </c>
      <c r="B430" s="120" t="s">
        <v>82</v>
      </c>
      <c r="C430" s="120" t="s">
        <v>154</v>
      </c>
      <c r="D430" s="120" t="s">
        <v>155</v>
      </c>
      <c r="E430" s="120" t="s">
        <v>1148</v>
      </c>
      <c r="F430" s="120"/>
      <c r="G430" s="119">
        <f>G431</f>
        <v>0</v>
      </c>
      <c r="H430" s="119">
        <f>H431</f>
        <v>4975.6000000000004</v>
      </c>
      <c r="I430" s="171"/>
      <c r="J430" s="171"/>
      <c r="K430" s="171"/>
      <c r="L430" s="171"/>
      <c r="M430" s="171"/>
      <c r="N430" s="171"/>
    </row>
    <row r="431" spans="1:14" s="170" customFormat="1" ht="47.25">
      <c r="A431" s="138" t="s">
        <v>204</v>
      </c>
      <c r="B431" s="120" t="s">
        <v>82</v>
      </c>
      <c r="C431" s="120" t="s">
        <v>154</v>
      </c>
      <c r="D431" s="120" t="s">
        <v>155</v>
      </c>
      <c r="E431" s="120" t="s">
        <v>1148</v>
      </c>
      <c r="F431" s="120" t="s">
        <v>319</v>
      </c>
      <c r="G431" s="119">
        <v>0</v>
      </c>
      <c r="H431" s="119">
        <v>4975.6000000000004</v>
      </c>
      <c r="I431" s="171"/>
      <c r="J431" s="171"/>
      <c r="K431" s="171"/>
      <c r="L431" s="171"/>
      <c r="M431" s="171"/>
      <c r="N431" s="171"/>
    </row>
    <row r="432" spans="1:14">
      <c r="A432" s="272" t="s">
        <v>300</v>
      </c>
      <c r="B432" s="215" t="s">
        <v>82</v>
      </c>
      <c r="C432" s="215" t="s">
        <v>154</v>
      </c>
      <c r="D432" s="215" t="s">
        <v>154</v>
      </c>
      <c r="E432" s="271"/>
      <c r="F432" s="215"/>
      <c r="G432" s="273">
        <f t="shared" ref="G432:H434" si="27">G433</f>
        <v>11294.4</v>
      </c>
      <c r="H432" s="273">
        <f>H433+H444</f>
        <v>11294.4</v>
      </c>
    </row>
    <row r="433" spans="1:8" ht="47.25">
      <c r="A433" s="496" t="s">
        <v>946</v>
      </c>
      <c r="B433" s="271" t="s">
        <v>82</v>
      </c>
      <c r="C433" s="515" t="s">
        <v>154</v>
      </c>
      <c r="D433" s="515" t="s">
        <v>154</v>
      </c>
      <c r="E433" s="515" t="s">
        <v>581</v>
      </c>
      <c r="F433" s="515"/>
      <c r="G433" s="273">
        <f t="shared" si="27"/>
        <v>11294.4</v>
      </c>
      <c r="H433" s="273">
        <f t="shared" si="27"/>
        <v>0</v>
      </c>
    </row>
    <row r="434" spans="1:8" ht="31.5">
      <c r="A434" s="147" t="s">
        <v>347</v>
      </c>
      <c r="B434" s="120" t="s">
        <v>82</v>
      </c>
      <c r="C434" s="149" t="s">
        <v>154</v>
      </c>
      <c r="D434" s="149" t="s">
        <v>154</v>
      </c>
      <c r="E434" s="149" t="s">
        <v>597</v>
      </c>
      <c r="F434" s="149"/>
      <c r="G434" s="273">
        <f t="shared" si="27"/>
        <v>11294.4</v>
      </c>
      <c r="H434" s="273">
        <f t="shared" si="27"/>
        <v>0</v>
      </c>
    </row>
    <row r="435" spans="1:8" ht="31.5">
      <c r="A435" s="147" t="s">
        <v>591</v>
      </c>
      <c r="B435" s="120" t="s">
        <v>82</v>
      </c>
      <c r="C435" s="149" t="s">
        <v>154</v>
      </c>
      <c r="D435" s="149" t="s">
        <v>154</v>
      </c>
      <c r="E435" s="149" t="s">
        <v>598</v>
      </c>
      <c r="F435" s="149"/>
      <c r="G435" s="81">
        <f>G436+G437+G439+G441</f>
        <v>11294.4</v>
      </c>
      <c r="H435" s="81">
        <f>H436+H437+H439+H441</f>
        <v>0</v>
      </c>
    </row>
    <row r="436" spans="1:8" ht="47.25">
      <c r="A436" s="48" t="s">
        <v>268</v>
      </c>
      <c r="B436" s="120" t="s">
        <v>82</v>
      </c>
      <c r="C436" s="68" t="s">
        <v>154</v>
      </c>
      <c r="D436" s="68" t="s">
        <v>154</v>
      </c>
      <c r="E436" s="172" t="s">
        <v>599</v>
      </c>
      <c r="F436" s="68" t="s">
        <v>320</v>
      </c>
      <c r="G436" s="81">
        <f>2012.6+1500</f>
        <v>3512.6</v>
      </c>
      <c r="H436" s="81">
        <v>0</v>
      </c>
    </row>
    <row r="437" spans="1:8" ht="126">
      <c r="A437" s="49" t="s">
        <v>499</v>
      </c>
      <c r="B437" s="68" t="s">
        <v>82</v>
      </c>
      <c r="C437" s="67" t="s">
        <v>154</v>
      </c>
      <c r="D437" s="67" t="s">
        <v>154</v>
      </c>
      <c r="E437" s="68" t="s">
        <v>600</v>
      </c>
      <c r="F437" s="67"/>
      <c r="G437" s="80">
        <f>G438</f>
        <v>3247.2</v>
      </c>
      <c r="H437" s="80">
        <f>H438</f>
        <v>0</v>
      </c>
    </row>
    <row r="438" spans="1:8" ht="31.5">
      <c r="A438" s="49" t="s">
        <v>340</v>
      </c>
      <c r="B438" s="68" t="s">
        <v>82</v>
      </c>
      <c r="C438" s="68" t="s">
        <v>154</v>
      </c>
      <c r="D438" s="68" t="s">
        <v>154</v>
      </c>
      <c r="E438" s="68" t="s">
        <v>600</v>
      </c>
      <c r="F438" s="68" t="s">
        <v>273</v>
      </c>
      <c r="G438" s="81">
        <v>3247.2</v>
      </c>
      <c r="H438" s="81">
        <v>0</v>
      </c>
    </row>
    <row r="439" spans="1:8" ht="63">
      <c r="A439" s="49" t="s">
        <v>976</v>
      </c>
      <c r="B439" s="67" t="s">
        <v>82</v>
      </c>
      <c r="C439" s="67" t="s">
        <v>154</v>
      </c>
      <c r="D439" s="67" t="s">
        <v>154</v>
      </c>
      <c r="E439" s="68" t="s">
        <v>977</v>
      </c>
      <c r="F439" s="67"/>
      <c r="G439" s="80">
        <f>G440</f>
        <v>4467.6000000000004</v>
      </c>
      <c r="H439" s="80">
        <f>H440</f>
        <v>0</v>
      </c>
    </row>
    <row r="440" spans="1:8" ht="31.5">
      <c r="A440" s="49" t="s">
        <v>340</v>
      </c>
      <c r="B440" s="68" t="s">
        <v>82</v>
      </c>
      <c r="C440" s="68" t="s">
        <v>154</v>
      </c>
      <c r="D440" s="68" t="s">
        <v>154</v>
      </c>
      <c r="E440" s="68" t="s">
        <v>977</v>
      </c>
      <c r="F440" s="68" t="s">
        <v>273</v>
      </c>
      <c r="G440" s="81">
        <v>4467.6000000000004</v>
      </c>
      <c r="H440" s="81">
        <v>0</v>
      </c>
    </row>
    <row r="441" spans="1:8" ht="47.25">
      <c r="A441" s="48" t="s">
        <v>569</v>
      </c>
      <c r="B441" s="67" t="s">
        <v>82</v>
      </c>
      <c r="C441" s="67" t="s">
        <v>154</v>
      </c>
      <c r="D441" s="67" t="s">
        <v>154</v>
      </c>
      <c r="E441" s="67" t="s">
        <v>602</v>
      </c>
      <c r="F441" s="67"/>
      <c r="G441" s="81">
        <f>G442+G443</f>
        <v>67</v>
      </c>
      <c r="H441" s="81">
        <f>H442+H443</f>
        <v>0</v>
      </c>
    </row>
    <row r="442" spans="1:8">
      <c r="A442" s="48" t="s">
        <v>324</v>
      </c>
      <c r="B442" s="68" t="s">
        <v>82</v>
      </c>
      <c r="C442" s="68" t="s">
        <v>154</v>
      </c>
      <c r="D442" s="68" t="s">
        <v>154</v>
      </c>
      <c r="E442" s="67" t="s">
        <v>602</v>
      </c>
      <c r="F442" s="68" t="s">
        <v>332</v>
      </c>
      <c r="G442" s="81">
        <v>51.459290000000003</v>
      </c>
      <c r="H442" s="81">
        <v>0</v>
      </c>
    </row>
    <row r="443" spans="1:8" ht="47.25">
      <c r="A443" s="164" t="s">
        <v>325</v>
      </c>
      <c r="B443" s="68" t="s">
        <v>82</v>
      </c>
      <c r="C443" s="68" t="s">
        <v>154</v>
      </c>
      <c r="D443" s="68" t="s">
        <v>154</v>
      </c>
      <c r="E443" s="67" t="s">
        <v>602</v>
      </c>
      <c r="F443" s="68" t="s">
        <v>334</v>
      </c>
      <c r="G443" s="81">
        <v>15.540710000000001</v>
      </c>
      <c r="H443" s="81">
        <v>0</v>
      </c>
    </row>
    <row r="444" spans="1:8">
      <c r="A444" s="164" t="s">
        <v>359</v>
      </c>
      <c r="B444" s="68" t="s">
        <v>82</v>
      </c>
      <c r="C444" s="68" t="s">
        <v>154</v>
      </c>
      <c r="D444" s="68" t="s">
        <v>154</v>
      </c>
      <c r="E444" s="67" t="s">
        <v>384</v>
      </c>
      <c r="F444" s="68"/>
      <c r="G444" s="81">
        <v>0</v>
      </c>
      <c r="H444" s="81">
        <f>H445+H446+H448+H450</f>
        <v>11294.4</v>
      </c>
    </row>
    <row r="445" spans="1:8" ht="47.25">
      <c r="A445" s="48" t="s">
        <v>268</v>
      </c>
      <c r="B445" s="120" t="s">
        <v>82</v>
      </c>
      <c r="C445" s="68" t="s">
        <v>154</v>
      </c>
      <c r="D445" s="68" t="s">
        <v>154</v>
      </c>
      <c r="E445" s="172" t="s">
        <v>1149</v>
      </c>
      <c r="F445" s="68" t="s">
        <v>320</v>
      </c>
      <c r="G445" s="81">
        <v>0</v>
      </c>
      <c r="H445" s="81">
        <f>2012.6+1500</f>
        <v>3512.6</v>
      </c>
    </row>
    <row r="446" spans="1:8" ht="126">
      <c r="A446" s="49" t="s">
        <v>499</v>
      </c>
      <c r="B446" s="68" t="s">
        <v>82</v>
      </c>
      <c r="C446" s="67" t="s">
        <v>154</v>
      </c>
      <c r="D446" s="67" t="s">
        <v>154</v>
      </c>
      <c r="E446" s="68" t="s">
        <v>1150</v>
      </c>
      <c r="F446" s="67"/>
      <c r="G446" s="80">
        <f>G447</f>
        <v>0</v>
      </c>
      <c r="H446" s="80">
        <f>H447</f>
        <v>3247.2</v>
      </c>
    </row>
    <row r="447" spans="1:8" ht="31.5">
      <c r="A447" s="49" t="s">
        <v>340</v>
      </c>
      <c r="B447" s="68" t="s">
        <v>82</v>
      </c>
      <c r="C447" s="68" t="s">
        <v>154</v>
      </c>
      <c r="D447" s="68" t="s">
        <v>154</v>
      </c>
      <c r="E447" s="68" t="s">
        <v>1150</v>
      </c>
      <c r="F447" s="68" t="s">
        <v>273</v>
      </c>
      <c r="G447" s="81">
        <v>0</v>
      </c>
      <c r="H447" s="81">
        <v>3247.2</v>
      </c>
    </row>
    <row r="448" spans="1:8" ht="63">
      <c r="A448" s="49" t="s">
        <v>976</v>
      </c>
      <c r="B448" s="67" t="s">
        <v>82</v>
      </c>
      <c r="C448" s="67" t="s">
        <v>154</v>
      </c>
      <c r="D448" s="67" t="s">
        <v>154</v>
      </c>
      <c r="E448" s="68" t="s">
        <v>1151</v>
      </c>
      <c r="F448" s="67"/>
      <c r="G448" s="80">
        <f>G449</f>
        <v>0</v>
      </c>
      <c r="H448" s="80">
        <f>H449</f>
        <v>4467.6000000000004</v>
      </c>
    </row>
    <row r="449" spans="1:8" ht="31.5">
      <c r="A449" s="49" t="s">
        <v>340</v>
      </c>
      <c r="B449" s="68" t="s">
        <v>82</v>
      </c>
      <c r="C449" s="68" t="s">
        <v>154</v>
      </c>
      <c r="D449" s="68" t="s">
        <v>154</v>
      </c>
      <c r="E449" s="68" t="s">
        <v>1151</v>
      </c>
      <c r="F449" s="68" t="s">
        <v>273</v>
      </c>
      <c r="G449" s="81">
        <v>0</v>
      </c>
      <c r="H449" s="81">
        <v>4467.6000000000004</v>
      </c>
    </row>
    <row r="450" spans="1:8" ht="47.25">
      <c r="A450" s="48" t="s">
        <v>569</v>
      </c>
      <c r="B450" s="67" t="s">
        <v>82</v>
      </c>
      <c r="C450" s="67" t="s">
        <v>154</v>
      </c>
      <c r="D450" s="67" t="s">
        <v>154</v>
      </c>
      <c r="E450" s="67" t="s">
        <v>1152</v>
      </c>
      <c r="F450" s="67"/>
      <c r="G450" s="81">
        <f>G451+G452</f>
        <v>0</v>
      </c>
      <c r="H450" s="81">
        <f>H451+H452</f>
        <v>67</v>
      </c>
    </row>
    <row r="451" spans="1:8">
      <c r="A451" s="48" t="s">
        <v>324</v>
      </c>
      <c r="B451" s="68" t="s">
        <v>82</v>
      </c>
      <c r="C451" s="68" t="s">
        <v>154</v>
      </c>
      <c r="D451" s="68" t="s">
        <v>154</v>
      </c>
      <c r="E451" s="67" t="s">
        <v>1152</v>
      </c>
      <c r="F451" s="68" t="s">
        <v>332</v>
      </c>
      <c r="G451" s="81">
        <v>0</v>
      </c>
      <c r="H451" s="81">
        <v>51.459290000000003</v>
      </c>
    </row>
    <row r="452" spans="1:8" ht="47.25">
      <c r="A452" s="164" t="s">
        <v>325</v>
      </c>
      <c r="B452" s="68" t="s">
        <v>82</v>
      </c>
      <c r="C452" s="68" t="s">
        <v>154</v>
      </c>
      <c r="D452" s="68" t="s">
        <v>154</v>
      </c>
      <c r="E452" s="67" t="s">
        <v>1152</v>
      </c>
      <c r="F452" s="68" t="s">
        <v>334</v>
      </c>
      <c r="G452" s="81">
        <v>0</v>
      </c>
      <c r="H452" s="81">
        <v>15.540710000000001</v>
      </c>
    </row>
    <row r="453" spans="1:8" s="185" customFormat="1">
      <c r="A453" s="198" t="s">
        <v>308</v>
      </c>
      <c r="B453" s="199" t="s">
        <v>82</v>
      </c>
      <c r="C453" s="199" t="s">
        <v>154</v>
      </c>
      <c r="D453" s="199" t="s">
        <v>156</v>
      </c>
      <c r="E453" s="306"/>
      <c r="F453" s="199"/>
      <c r="G453" s="200">
        <f>G454+G485</f>
        <v>46778.752939999998</v>
      </c>
      <c r="H453" s="200">
        <f>H454+H485</f>
        <v>47194.552939999994</v>
      </c>
    </row>
    <row r="454" spans="1:8" s="185" customFormat="1" ht="47.25">
      <c r="A454" s="496" t="s">
        <v>946</v>
      </c>
      <c r="B454" s="515" t="s">
        <v>82</v>
      </c>
      <c r="C454" s="515" t="s">
        <v>154</v>
      </c>
      <c r="D454" s="515" t="s">
        <v>156</v>
      </c>
      <c r="E454" s="515" t="s">
        <v>581</v>
      </c>
      <c r="F454" s="199"/>
      <c r="G454" s="200">
        <f>G455+G458</f>
        <v>46778.752939999998</v>
      </c>
      <c r="H454" s="200">
        <f>H455+H458</f>
        <v>0</v>
      </c>
    </row>
    <row r="455" spans="1:8" s="185" customFormat="1" ht="31.5">
      <c r="A455" s="147" t="s">
        <v>346</v>
      </c>
      <c r="B455" s="155" t="s">
        <v>82</v>
      </c>
      <c r="C455" s="149" t="s">
        <v>154</v>
      </c>
      <c r="D455" s="149" t="s">
        <v>156</v>
      </c>
      <c r="E455" s="346" t="s">
        <v>603</v>
      </c>
      <c r="F455" s="149"/>
      <c r="G455" s="150">
        <f t="shared" ref="G455" si="28">G456</f>
        <v>300</v>
      </c>
      <c r="H455" s="200">
        <f>H456</f>
        <v>0</v>
      </c>
    </row>
    <row r="456" spans="1:8" s="185" customFormat="1" ht="47.25">
      <c r="A456" s="147" t="s">
        <v>604</v>
      </c>
      <c r="B456" s="155" t="s">
        <v>82</v>
      </c>
      <c r="C456" s="149" t="s">
        <v>154</v>
      </c>
      <c r="D456" s="149" t="s">
        <v>156</v>
      </c>
      <c r="E456" s="346" t="s">
        <v>605</v>
      </c>
      <c r="F456" s="149"/>
      <c r="G456" s="150">
        <f>G457</f>
        <v>300</v>
      </c>
      <c r="H456" s="200">
        <f>H457</f>
        <v>0</v>
      </c>
    </row>
    <row r="457" spans="1:8" s="185" customFormat="1" ht="31.5">
      <c r="A457" s="210" t="s">
        <v>209</v>
      </c>
      <c r="B457" s="120" t="s">
        <v>82</v>
      </c>
      <c r="C457" s="120" t="s">
        <v>154</v>
      </c>
      <c r="D457" s="120" t="s">
        <v>156</v>
      </c>
      <c r="E457" s="120" t="s">
        <v>676</v>
      </c>
      <c r="F457" s="120" t="s">
        <v>312</v>
      </c>
      <c r="G457" s="93">
        <v>300</v>
      </c>
      <c r="H457" s="691">
        <v>0</v>
      </c>
    </row>
    <row r="458" spans="1:8" ht="47.25">
      <c r="A458" s="496" t="s">
        <v>946</v>
      </c>
      <c r="B458" s="515" t="s">
        <v>82</v>
      </c>
      <c r="C458" s="515" t="s">
        <v>154</v>
      </c>
      <c r="D458" s="515" t="s">
        <v>156</v>
      </c>
      <c r="E458" s="515" t="s">
        <v>581</v>
      </c>
      <c r="F458" s="515"/>
      <c r="G458" s="154">
        <f>G459+G482</f>
        <v>46478.752939999998</v>
      </c>
      <c r="H458" s="154">
        <f>H459+H482</f>
        <v>0</v>
      </c>
    </row>
    <row r="459" spans="1:8" ht="31.5">
      <c r="A459" s="123" t="s">
        <v>1007</v>
      </c>
      <c r="B459" s="120" t="s">
        <v>82</v>
      </c>
      <c r="C459" s="67" t="s">
        <v>154</v>
      </c>
      <c r="D459" s="67" t="s">
        <v>156</v>
      </c>
      <c r="E459" s="508" t="s">
        <v>607</v>
      </c>
      <c r="F459" s="68"/>
      <c r="G459" s="187">
        <f>G460</f>
        <v>43264.952939999996</v>
      </c>
      <c r="H459" s="187">
        <f>H460</f>
        <v>0</v>
      </c>
    </row>
    <row r="460" spans="1:8" ht="47.25">
      <c r="A460" s="123" t="s">
        <v>606</v>
      </c>
      <c r="B460" s="120" t="s">
        <v>82</v>
      </c>
      <c r="C460" s="67" t="s">
        <v>154</v>
      </c>
      <c r="D460" s="67" t="s">
        <v>156</v>
      </c>
      <c r="E460" s="508" t="s">
        <v>608</v>
      </c>
      <c r="F460" s="68"/>
      <c r="G460" s="187">
        <f>G461+G465+G476+G479+G473</f>
        <v>43264.952939999996</v>
      </c>
      <c r="H460" s="187">
        <f>H461+H465+H476+H479</f>
        <v>0</v>
      </c>
    </row>
    <row r="461" spans="1:8" ht="31.5">
      <c r="A461" s="49" t="s">
        <v>323</v>
      </c>
      <c r="B461" s="120" t="s">
        <v>82</v>
      </c>
      <c r="C461" s="67" t="s">
        <v>154</v>
      </c>
      <c r="D461" s="67" t="s">
        <v>156</v>
      </c>
      <c r="E461" s="67" t="s">
        <v>609</v>
      </c>
      <c r="F461" s="67"/>
      <c r="G461" s="80">
        <f t="shared" ref="G461:H461" si="29">G462</f>
        <v>1384.09266</v>
      </c>
      <c r="H461" s="80">
        <f t="shared" si="29"/>
        <v>0</v>
      </c>
    </row>
    <row r="462" spans="1:8">
      <c r="A462" s="46" t="s">
        <v>298</v>
      </c>
      <c r="B462" s="120" t="s">
        <v>82</v>
      </c>
      <c r="C462" s="67" t="s">
        <v>154</v>
      </c>
      <c r="D462" s="67" t="s">
        <v>156</v>
      </c>
      <c r="E462" s="67" t="s">
        <v>610</v>
      </c>
      <c r="F462" s="67"/>
      <c r="G462" s="80">
        <f>G463+G464</f>
        <v>1384.09266</v>
      </c>
      <c r="H462" s="80">
        <f>H463+H464</f>
        <v>0</v>
      </c>
    </row>
    <row r="463" spans="1:8">
      <c r="A463" s="48" t="s">
        <v>324</v>
      </c>
      <c r="B463" s="68" t="s">
        <v>82</v>
      </c>
      <c r="C463" s="68" t="s">
        <v>154</v>
      </c>
      <c r="D463" s="68" t="s">
        <v>156</v>
      </c>
      <c r="E463" s="67" t="s">
        <v>610</v>
      </c>
      <c r="F463" s="70">
        <v>121</v>
      </c>
      <c r="G463" s="81">
        <v>1063.0512000000001</v>
      </c>
      <c r="H463" s="81">
        <v>0</v>
      </c>
    </row>
    <row r="464" spans="1:8" ht="47.25">
      <c r="A464" s="164" t="s">
        <v>325</v>
      </c>
      <c r="B464" s="68" t="s">
        <v>82</v>
      </c>
      <c r="C464" s="68" t="s">
        <v>154</v>
      </c>
      <c r="D464" s="68" t="s">
        <v>156</v>
      </c>
      <c r="E464" s="67" t="s">
        <v>610</v>
      </c>
      <c r="F464" s="70">
        <v>129</v>
      </c>
      <c r="G464" s="81">
        <v>321.04145999999997</v>
      </c>
      <c r="H464" s="81">
        <v>0</v>
      </c>
    </row>
    <row r="465" spans="1:8" ht="47.25">
      <c r="A465" s="49" t="s">
        <v>293</v>
      </c>
      <c r="B465" s="120" t="s">
        <v>82</v>
      </c>
      <c r="C465" s="67" t="s">
        <v>154</v>
      </c>
      <c r="D465" s="67" t="s">
        <v>156</v>
      </c>
      <c r="E465" s="67" t="s">
        <v>634</v>
      </c>
      <c r="F465" s="67"/>
      <c r="G465" s="93">
        <f>G466+G467+G468+G469+G470+G471+G472</f>
        <v>35745.160279999996</v>
      </c>
      <c r="H465" s="93">
        <f>H466+H467+H468+H469+H470+H471+H472</f>
        <v>0</v>
      </c>
    </row>
    <row r="466" spans="1:8">
      <c r="A466" s="173" t="s">
        <v>446</v>
      </c>
      <c r="B466" s="172" t="s">
        <v>82</v>
      </c>
      <c r="C466" s="172" t="s">
        <v>154</v>
      </c>
      <c r="D466" s="172" t="s">
        <v>156</v>
      </c>
      <c r="E466" s="67" t="s">
        <v>634</v>
      </c>
      <c r="F466" s="172" t="s">
        <v>332</v>
      </c>
      <c r="G466" s="167">
        <v>24399.892690000001</v>
      </c>
      <c r="H466" s="167">
        <v>0</v>
      </c>
    </row>
    <row r="467" spans="1:8" ht="31.5">
      <c r="A467" s="173" t="s">
        <v>6</v>
      </c>
      <c r="B467" s="172" t="s">
        <v>82</v>
      </c>
      <c r="C467" s="172" t="s">
        <v>154</v>
      </c>
      <c r="D467" s="172" t="s">
        <v>156</v>
      </c>
      <c r="E467" s="67" t="s">
        <v>634</v>
      </c>
      <c r="F467" s="172" t="s">
        <v>333</v>
      </c>
      <c r="G467" s="167">
        <v>50</v>
      </c>
      <c r="H467" s="167">
        <v>0</v>
      </c>
    </row>
    <row r="468" spans="1:8" ht="31.5">
      <c r="A468" s="196" t="s">
        <v>447</v>
      </c>
      <c r="B468" s="172" t="s">
        <v>82</v>
      </c>
      <c r="C468" s="172" t="s">
        <v>154</v>
      </c>
      <c r="D468" s="172" t="s">
        <v>156</v>
      </c>
      <c r="E468" s="67" t="s">
        <v>634</v>
      </c>
      <c r="F468" s="172" t="s">
        <v>334</v>
      </c>
      <c r="G468" s="167">
        <v>7368.7675900000004</v>
      </c>
      <c r="H468" s="167">
        <v>0</v>
      </c>
    </row>
    <row r="469" spans="1:8" ht="31.5">
      <c r="A469" s="175" t="s">
        <v>317</v>
      </c>
      <c r="B469" s="172" t="s">
        <v>82</v>
      </c>
      <c r="C469" s="172" t="s">
        <v>154</v>
      </c>
      <c r="D469" s="172" t="s">
        <v>156</v>
      </c>
      <c r="E469" s="67" t="s">
        <v>634</v>
      </c>
      <c r="F469" s="172" t="s">
        <v>318</v>
      </c>
      <c r="G469" s="167">
        <v>531.79999999999995</v>
      </c>
      <c r="H469" s="167">
        <v>0</v>
      </c>
    </row>
    <row r="470" spans="1:8" ht="31.5">
      <c r="A470" s="123" t="s">
        <v>209</v>
      </c>
      <c r="B470" s="172" t="s">
        <v>82</v>
      </c>
      <c r="C470" s="172" t="s">
        <v>154</v>
      </c>
      <c r="D470" s="172" t="s">
        <v>156</v>
      </c>
      <c r="E470" s="67" t="s">
        <v>634</v>
      </c>
      <c r="F470" s="172" t="s">
        <v>312</v>
      </c>
      <c r="G470" s="167">
        <f>1500+1500</f>
        <v>3000</v>
      </c>
      <c r="H470" s="167">
        <v>0</v>
      </c>
    </row>
    <row r="471" spans="1:8">
      <c r="A471" s="3" t="s">
        <v>745</v>
      </c>
      <c r="B471" s="172" t="s">
        <v>82</v>
      </c>
      <c r="C471" s="172" t="s">
        <v>154</v>
      </c>
      <c r="D471" s="172" t="s">
        <v>156</v>
      </c>
      <c r="E471" s="67" t="s">
        <v>634</v>
      </c>
      <c r="F471" s="172" t="s">
        <v>744</v>
      </c>
      <c r="G471" s="167">
        <v>370</v>
      </c>
      <c r="H471" s="167">
        <v>0</v>
      </c>
    </row>
    <row r="472" spans="1:8">
      <c r="A472" s="48" t="s">
        <v>314</v>
      </c>
      <c r="B472" s="68" t="s">
        <v>82</v>
      </c>
      <c r="C472" s="68" t="s">
        <v>154</v>
      </c>
      <c r="D472" s="68" t="s">
        <v>156</v>
      </c>
      <c r="E472" s="67" t="s">
        <v>634</v>
      </c>
      <c r="F472" s="82">
        <v>851</v>
      </c>
      <c r="G472" s="81">
        <v>24.7</v>
      </c>
      <c r="H472" s="81">
        <v>0</v>
      </c>
    </row>
    <row r="473" spans="1:8" ht="63">
      <c r="A473" s="46" t="s">
        <v>570</v>
      </c>
      <c r="B473" s="120" t="s">
        <v>82</v>
      </c>
      <c r="C473" s="67" t="s">
        <v>154</v>
      </c>
      <c r="D473" s="67" t="s">
        <v>156</v>
      </c>
      <c r="E473" s="67" t="s">
        <v>637</v>
      </c>
      <c r="F473" s="82"/>
      <c r="G473" s="81">
        <f>G474+G475</f>
        <v>6000</v>
      </c>
      <c r="H473" s="81">
        <v>0</v>
      </c>
    </row>
    <row r="474" spans="1:8">
      <c r="A474" s="173" t="s">
        <v>446</v>
      </c>
      <c r="B474" s="120" t="s">
        <v>82</v>
      </c>
      <c r="C474" s="68" t="s">
        <v>154</v>
      </c>
      <c r="D474" s="68" t="s">
        <v>156</v>
      </c>
      <c r="E474" s="68" t="s">
        <v>637</v>
      </c>
      <c r="F474" s="82"/>
      <c r="G474" s="81">
        <v>4608.2950000000001</v>
      </c>
      <c r="H474" s="81">
        <v>0</v>
      </c>
    </row>
    <row r="475" spans="1:8" ht="31.5">
      <c r="A475" s="441" t="s">
        <v>447</v>
      </c>
      <c r="B475" s="120" t="s">
        <v>82</v>
      </c>
      <c r="C475" s="68" t="s">
        <v>154</v>
      </c>
      <c r="D475" s="68" t="s">
        <v>156</v>
      </c>
      <c r="E475" s="68" t="s">
        <v>637</v>
      </c>
      <c r="F475" s="82"/>
      <c r="G475" s="81">
        <v>1391.7049999999999</v>
      </c>
      <c r="H475" s="81">
        <v>0</v>
      </c>
    </row>
    <row r="476" spans="1:8" ht="47.25">
      <c r="A476" s="48" t="s">
        <v>335</v>
      </c>
      <c r="B476" s="120" t="s">
        <v>82</v>
      </c>
      <c r="C476" s="68" t="s">
        <v>154</v>
      </c>
      <c r="D476" s="68" t="s">
        <v>156</v>
      </c>
      <c r="E476" s="68" t="s">
        <v>635</v>
      </c>
      <c r="F476" s="82"/>
      <c r="G476" s="81">
        <f>G477+G478</f>
        <v>48.7</v>
      </c>
      <c r="H476" s="80">
        <f>H477+H478</f>
        <v>0</v>
      </c>
    </row>
    <row r="477" spans="1:8">
      <c r="A477" s="173" t="s">
        <v>446</v>
      </c>
      <c r="B477" s="120" t="s">
        <v>82</v>
      </c>
      <c r="C477" s="68" t="s">
        <v>154</v>
      </c>
      <c r="D477" s="68" t="s">
        <v>156</v>
      </c>
      <c r="E477" s="68" t="s">
        <v>635</v>
      </c>
      <c r="F477" s="82">
        <v>111</v>
      </c>
      <c r="G477" s="81">
        <v>37.40399</v>
      </c>
      <c r="H477" s="81">
        <v>0</v>
      </c>
    </row>
    <row r="478" spans="1:8" ht="31.5">
      <c r="A478" s="173" t="s">
        <v>447</v>
      </c>
      <c r="B478" s="120" t="s">
        <v>82</v>
      </c>
      <c r="C478" s="68" t="s">
        <v>154</v>
      </c>
      <c r="D478" s="68" t="s">
        <v>156</v>
      </c>
      <c r="E478" s="68" t="s">
        <v>635</v>
      </c>
      <c r="F478" s="82">
        <v>119</v>
      </c>
      <c r="G478" s="81">
        <v>11.296010000000001</v>
      </c>
      <c r="H478" s="81">
        <v>0</v>
      </c>
    </row>
    <row r="479" spans="1:8" ht="94.5">
      <c r="A479" s="49" t="s">
        <v>412</v>
      </c>
      <c r="B479" s="67" t="s">
        <v>82</v>
      </c>
      <c r="C479" s="67" t="s">
        <v>154</v>
      </c>
      <c r="D479" s="67" t="s">
        <v>156</v>
      </c>
      <c r="E479" s="378"/>
      <c r="F479" s="67"/>
      <c r="G479" s="80">
        <f>G480+G481</f>
        <v>87</v>
      </c>
      <c r="H479" s="80">
        <f>H480+H481</f>
        <v>0</v>
      </c>
    </row>
    <row r="480" spans="1:8" ht="31.5">
      <c r="A480" s="48" t="s">
        <v>110</v>
      </c>
      <c r="B480" s="68" t="s">
        <v>82</v>
      </c>
      <c r="C480" s="68" t="s">
        <v>154</v>
      </c>
      <c r="D480" s="68" t="s">
        <v>156</v>
      </c>
      <c r="E480" s="68" t="s">
        <v>636</v>
      </c>
      <c r="F480" s="68" t="s">
        <v>332</v>
      </c>
      <c r="G480" s="81">
        <v>66.820279999999997</v>
      </c>
      <c r="H480" s="81">
        <v>0</v>
      </c>
    </row>
    <row r="481" spans="1:8" ht="47.25">
      <c r="A481" s="164" t="s">
        <v>325</v>
      </c>
      <c r="B481" s="68" t="s">
        <v>82</v>
      </c>
      <c r="C481" s="68" t="s">
        <v>154</v>
      </c>
      <c r="D481" s="68" t="s">
        <v>156</v>
      </c>
      <c r="E481" s="68" t="s">
        <v>636</v>
      </c>
      <c r="F481" s="68" t="s">
        <v>334</v>
      </c>
      <c r="G481" s="81">
        <v>20.17972</v>
      </c>
      <c r="H481" s="81">
        <v>0</v>
      </c>
    </row>
    <row r="482" spans="1:8" ht="42" customHeight="1">
      <c r="A482" s="147" t="s">
        <v>1004</v>
      </c>
      <c r="B482" s="155" t="s">
        <v>82</v>
      </c>
      <c r="C482" s="155" t="s">
        <v>154</v>
      </c>
      <c r="D482" s="155" t="s">
        <v>156</v>
      </c>
      <c r="E482" s="158"/>
      <c r="F482" s="155"/>
      <c r="G482" s="163">
        <f>G483</f>
        <v>3213.8</v>
      </c>
      <c r="H482" s="163">
        <f>H483</f>
        <v>0</v>
      </c>
    </row>
    <row r="483" spans="1:8" ht="63">
      <c r="A483" s="173" t="s">
        <v>998</v>
      </c>
      <c r="B483" s="120" t="s">
        <v>82</v>
      </c>
      <c r="C483" s="68" t="s">
        <v>154</v>
      </c>
      <c r="D483" s="68" t="s">
        <v>156</v>
      </c>
      <c r="E483" s="276" t="s">
        <v>999</v>
      </c>
      <c r="F483" s="68"/>
      <c r="G483" s="81">
        <f>G484</f>
        <v>3213.8</v>
      </c>
      <c r="H483" s="81">
        <f>H484</f>
        <v>0</v>
      </c>
    </row>
    <row r="484" spans="1:8">
      <c r="A484" s="138" t="s">
        <v>205</v>
      </c>
      <c r="B484" s="120" t="s">
        <v>82</v>
      </c>
      <c r="C484" s="68" t="s">
        <v>154</v>
      </c>
      <c r="D484" s="68" t="s">
        <v>156</v>
      </c>
      <c r="E484" s="276" t="s">
        <v>999</v>
      </c>
      <c r="F484" s="68" t="s">
        <v>202</v>
      </c>
      <c r="G484" s="81">
        <v>3213.8</v>
      </c>
      <c r="H484" s="81">
        <v>0</v>
      </c>
    </row>
    <row r="485" spans="1:8" ht="42" customHeight="1">
      <c r="A485" s="496" t="s">
        <v>359</v>
      </c>
      <c r="B485" s="153" t="s">
        <v>82</v>
      </c>
      <c r="C485" s="670" t="s">
        <v>154</v>
      </c>
      <c r="D485" s="670" t="s">
        <v>156</v>
      </c>
      <c r="E485" s="671" t="s">
        <v>384</v>
      </c>
      <c r="F485" s="671"/>
      <c r="G485" s="162">
        <v>0</v>
      </c>
      <c r="H485" s="162">
        <f>H486+H490+H501+H504+H507+H498</f>
        <v>47194.552939999994</v>
      </c>
    </row>
    <row r="486" spans="1:8" s="174" customFormat="1" ht="42" customHeight="1">
      <c r="A486" s="49" t="s">
        <v>323</v>
      </c>
      <c r="B486" s="120" t="s">
        <v>82</v>
      </c>
      <c r="C486" s="67" t="s">
        <v>154</v>
      </c>
      <c r="D486" s="67" t="s">
        <v>156</v>
      </c>
      <c r="E486" s="67" t="s">
        <v>1153</v>
      </c>
      <c r="F486" s="67"/>
      <c r="G486" s="80">
        <f t="shared" ref="G486:H486" si="30">G487</f>
        <v>0</v>
      </c>
      <c r="H486" s="80">
        <f t="shared" si="30"/>
        <v>1384.09266</v>
      </c>
    </row>
    <row r="487" spans="1:8" s="174" customFormat="1" ht="42" customHeight="1">
      <c r="A487" s="46" t="s">
        <v>298</v>
      </c>
      <c r="B487" s="120" t="s">
        <v>82</v>
      </c>
      <c r="C487" s="67" t="s">
        <v>154</v>
      </c>
      <c r="D487" s="67" t="s">
        <v>156</v>
      </c>
      <c r="E487" s="67" t="s">
        <v>1153</v>
      </c>
      <c r="F487" s="67"/>
      <c r="G487" s="80">
        <f>G488+G489</f>
        <v>0</v>
      </c>
      <c r="H487" s="80">
        <f>H488+H489</f>
        <v>1384.09266</v>
      </c>
    </row>
    <row r="488" spans="1:8" s="174" customFormat="1" ht="42" customHeight="1">
      <c r="A488" s="48" t="s">
        <v>324</v>
      </c>
      <c r="B488" s="68" t="s">
        <v>82</v>
      </c>
      <c r="C488" s="68" t="s">
        <v>154</v>
      </c>
      <c r="D488" s="68" t="s">
        <v>156</v>
      </c>
      <c r="E488" s="67" t="s">
        <v>1153</v>
      </c>
      <c r="F488" s="70">
        <v>121</v>
      </c>
      <c r="G488" s="81">
        <v>0</v>
      </c>
      <c r="H488" s="81">
        <v>1063.0512000000001</v>
      </c>
    </row>
    <row r="489" spans="1:8" s="174" customFormat="1" ht="50.25" customHeight="1">
      <c r="A489" s="164" t="s">
        <v>325</v>
      </c>
      <c r="B489" s="68" t="s">
        <v>82</v>
      </c>
      <c r="C489" s="68" t="s">
        <v>154</v>
      </c>
      <c r="D489" s="68" t="s">
        <v>156</v>
      </c>
      <c r="E489" s="67" t="s">
        <v>1153</v>
      </c>
      <c r="F489" s="70">
        <v>129</v>
      </c>
      <c r="G489" s="81">
        <v>0</v>
      </c>
      <c r="H489" s="81">
        <v>321.04145999999997</v>
      </c>
    </row>
    <row r="490" spans="1:8" s="174" customFormat="1" ht="59.25" customHeight="1">
      <c r="A490" s="49" t="s">
        <v>293</v>
      </c>
      <c r="B490" s="120" t="s">
        <v>82</v>
      </c>
      <c r="C490" s="67" t="s">
        <v>154</v>
      </c>
      <c r="D490" s="67" t="s">
        <v>156</v>
      </c>
      <c r="E490" s="67" t="s">
        <v>1149</v>
      </c>
      <c r="F490" s="67"/>
      <c r="G490" s="93">
        <v>0</v>
      </c>
      <c r="H490" s="93">
        <f>H491+H492+H493+H494+H495+H496+H497</f>
        <v>35789.660279999996</v>
      </c>
    </row>
    <row r="491" spans="1:8" ht="25.5" customHeight="1">
      <c r="A491" s="173" t="s">
        <v>446</v>
      </c>
      <c r="B491" s="172" t="s">
        <v>82</v>
      </c>
      <c r="C491" s="172" t="s">
        <v>154</v>
      </c>
      <c r="D491" s="172" t="s">
        <v>156</v>
      </c>
      <c r="E491" s="67" t="s">
        <v>1149</v>
      </c>
      <c r="F491" s="172" t="s">
        <v>332</v>
      </c>
      <c r="G491" s="167">
        <v>0</v>
      </c>
      <c r="H491" s="167">
        <v>24399.892690000001</v>
      </c>
    </row>
    <row r="492" spans="1:8" ht="42.75" customHeight="1">
      <c r="A492" s="173" t="s">
        <v>6</v>
      </c>
      <c r="B492" s="172" t="s">
        <v>82</v>
      </c>
      <c r="C492" s="172" t="s">
        <v>154</v>
      </c>
      <c r="D492" s="172" t="s">
        <v>156</v>
      </c>
      <c r="E492" s="67" t="s">
        <v>1149</v>
      </c>
      <c r="F492" s="172" t="s">
        <v>333</v>
      </c>
      <c r="G492" s="167">
        <v>0</v>
      </c>
      <c r="H492" s="167">
        <v>50</v>
      </c>
    </row>
    <row r="493" spans="1:8" ht="40.5" customHeight="1">
      <c r="A493" s="196" t="s">
        <v>447</v>
      </c>
      <c r="B493" s="172" t="s">
        <v>82</v>
      </c>
      <c r="C493" s="172" t="s">
        <v>154</v>
      </c>
      <c r="D493" s="172" t="s">
        <v>156</v>
      </c>
      <c r="E493" s="67" t="s">
        <v>1149</v>
      </c>
      <c r="F493" s="172" t="s">
        <v>334</v>
      </c>
      <c r="G493" s="167">
        <v>0</v>
      </c>
      <c r="H493" s="167">
        <v>7368.7675900000004</v>
      </c>
    </row>
    <row r="494" spans="1:8" ht="40.5" customHeight="1">
      <c r="A494" s="175" t="s">
        <v>317</v>
      </c>
      <c r="B494" s="172" t="s">
        <v>82</v>
      </c>
      <c r="C494" s="172" t="s">
        <v>154</v>
      </c>
      <c r="D494" s="172" t="s">
        <v>156</v>
      </c>
      <c r="E494" s="67" t="s">
        <v>1149</v>
      </c>
      <c r="F494" s="172" t="s">
        <v>318</v>
      </c>
      <c r="G494" s="167">
        <v>0</v>
      </c>
      <c r="H494" s="167">
        <f>531.8+44.5</f>
        <v>576.29999999999995</v>
      </c>
    </row>
    <row r="495" spans="1:8" ht="36.75" customHeight="1">
      <c r="A495" s="123" t="s">
        <v>209</v>
      </c>
      <c r="B495" s="172" t="s">
        <v>82</v>
      </c>
      <c r="C495" s="172" t="s">
        <v>154</v>
      </c>
      <c r="D495" s="172" t="s">
        <v>156</v>
      </c>
      <c r="E495" s="67" t="s">
        <v>1149</v>
      </c>
      <c r="F495" s="172" t="s">
        <v>312</v>
      </c>
      <c r="G495" s="167">
        <v>0</v>
      </c>
      <c r="H495" s="167">
        <f>1500+1500</f>
        <v>3000</v>
      </c>
    </row>
    <row r="496" spans="1:8" ht="18" customHeight="1">
      <c r="A496" s="3" t="s">
        <v>745</v>
      </c>
      <c r="B496" s="172" t="s">
        <v>82</v>
      </c>
      <c r="C496" s="172" t="s">
        <v>154</v>
      </c>
      <c r="D496" s="172" t="s">
        <v>156</v>
      </c>
      <c r="E496" s="67" t="s">
        <v>1149</v>
      </c>
      <c r="F496" s="172" t="s">
        <v>744</v>
      </c>
      <c r="G496" s="167">
        <v>0</v>
      </c>
      <c r="H496" s="167">
        <v>370</v>
      </c>
    </row>
    <row r="497" spans="1:8" ht="36.75" customHeight="1">
      <c r="A497" s="48" t="s">
        <v>314</v>
      </c>
      <c r="B497" s="68" t="s">
        <v>82</v>
      </c>
      <c r="C497" s="68" t="s">
        <v>154</v>
      </c>
      <c r="D497" s="68" t="s">
        <v>156</v>
      </c>
      <c r="E497" s="67" t="s">
        <v>1149</v>
      </c>
      <c r="F497" s="82">
        <v>851</v>
      </c>
      <c r="G497" s="81">
        <v>0</v>
      </c>
      <c r="H497" s="81">
        <v>24.7</v>
      </c>
    </row>
    <row r="498" spans="1:8" ht="71.25" customHeight="1">
      <c r="A498" s="46" t="s">
        <v>570</v>
      </c>
      <c r="B498" s="172" t="s">
        <v>82</v>
      </c>
      <c r="C498" s="172" t="s">
        <v>154</v>
      </c>
      <c r="D498" s="172" t="s">
        <v>156</v>
      </c>
      <c r="E498" s="68" t="s">
        <v>1250</v>
      </c>
      <c r="F498" s="82"/>
      <c r="G498" s="81">
        <v>0</v>
      </c>
      <c r="H498" s="81">
        <f>H499+H500</f>
        <v>6000</v>
      </c>
    </row>
    <row r="499" spans="1:8" ht="36.75" customHeight="1">
      <c r="A499" s="173" t="s">
        <v>446</v>
      </c>
      <c r="B499" s="68" t="s">
        <v>82</v>
      </c>
      <c r="C499" s="68" t="s">
        <v>154</v>
      </c>
      <c r="D499" s="68" t="s">
        <v>156</v>
      </c>
      <c r="E499" s="68" t="s">
        <v>1250</v>
      </c>
      <c r="F499" s="82">
        <v>111</v>
      </c>
      <c r="G499" s="81">
        <v>0</v>
      </c>
      <c r="H499" s="81">
        <v>4608.2950000000001</v>
      </c>
    </row>
    <row r="500" spans="1:8" ht="36.75" customHeight="1">
      <c r="A500" s="196" t="s">
        <v>447</v>
      </c>
      <c r="B500" s="68" t="s">
        <v>82</v>
      </c>
      <c r="C500" s="68" t="s">
        <v>154</v>
      </c>
      <c r="D500" s="68" t="s">
        <v>156</v>
      </c>
      <c r="E500" s="68" t="s">
        <v>1250</v>
      </c>
      <c r="F500" s="82">
        <v>119</v>
      </c>
      <c r="G500" s="81">
        <v>0</v>
      </c>
      <c r="H500" s="81">
        <v>1391.7049999999999</v>
      </c>
    </row>
    <row r="501" spans="1:8" ht="61.5" customHeight="1">
      <c r="A501" s="48" t="s">
        <v>335</v>
      </c>
      <c r="B501" s="120" t="s">
        <v>82</v>
      </c>
      <c r="C501" s="68" t="s">
        <v>154</v>
      </c>
      <c r="D501" s="68" t="s">
        <v>156</v>
      </c>
      <c r="E501" s="68" t="s">
        <v>1154</v>
      </c>
      <c r="F501" s="82"/>
      <c r="G501" s="81">
        <f>G502+G503</f>
        <v>0</v>
      </c>
      <c r="H501" s="80">
        <f>H502+H503</f>
        <v>48.7</v>
      </c>
    </row>
    <row r="502" spans="1:8" ht="38.25" customHeight="1">
      <c r="A502" s="173" t="s">
        <v>446</v>
      </c>
      <c r="B502" s="120" t="s">
        <v>82</v>
      </c>
      <c r="C502" s="68" t="s">
        <v>154</v>
      </c>
      <c r="D502" s="68" t="s">
        <v>156</v>
      </c>
      <c r="E502" s="68" t="s">
        <v>1154</v>
      </c>
      <c r="F502" s="82">
        <v>111</v>
      </c>
      <c r="G502" s="81">
        <v>0</v>
      </c>
      <c r="H502" s="81">
        <v>37.40399</v>
      </c>
    </row>
    <row r="503" spans="1:8" ht="42" customHeight="1">
      <c r="A503" s="173" t="s">
        <v>447</v>
      </c>
      <c r="B503" s="120" t="s">
        <v>82</v>
      </c>
      <c r="C503" s="68" t="s">
        <v>154</v>
      </c>
      <c r="D503" s="68" t="s">
        <v>156</v>
      </c>
      <c r="E503" s="68" t="s">
        <v>1154</v>
      </c>
      <c r="F503" s="82">
        <v>119</v>
      </c>
      <c r="G503" s="81">
        <v>0</v>
      </c>
      <c r="H503" s="81">
        <v>11.296010000000001</v>
      </c>
    </row>
    <row r="504" spans="1:8" ht="42" customHeight="1">
      <c r="A504" s="49" t="s">
        <v>412</v>
      </c>
      <c r="B504" s="67" t="s">
        <v>82</v>
      </c>
      <c r="C504" s="67" t="s">
        <v>154</v>
      </c>
      <c r="D504" s="67" t="s">
        <v>156</v>
      </c>
      <c r="E504" s="378"/>
      <c r="F504" s="67"/>
      <c r="G504" s="80">
        <f>G505+G506</f>
        <v>0</v>
      </c>
      <c r="H504" s="80">
        <f>H505+H506</f>
        <v>87.199999999999989</v>
      </c>
    </row>
    <row r="505" spans="1:8" ht="42" customHeight="1">
      <c r="A505" s="48" t="s">
        <v>110</v>
      </c>
      <c r="B505" s="68" t="s">
        <v>82</v>
      </c>
      <c r="C505" s="68" t="s">
        <v>154</v>
      </c>
      <c r="D505" s="68" t="s">
        <v>156</v>
      </c>
      <c r="E505" s="68" t="s">
        <v>1155</v>
      </c>
      <c r="F505" s="68" t="s">
        <v>332</v>
      </c>
      <c r="G505" s="81">
        <v>0</v>
      </c>
      <c r="H505" s="81">
        <v>66.973889999999997</v>
      </c>
    </row>
    <row r="506" spans="1:8" ht="52.5" customHeight="1">
      <c r="A506" s="164" t="s">
        <v>325</v>
      </c>
      <c r="B506" s="68" t="s">
        <v>82</v>
      </c>
      <c r="C506" s="68" t="s">
        <v>154</v>
      </c>
      <c r="D506" s="68" t="s">
        <v>156</v>
      </c>
      <c r="E506" s="68" t="s">
        <v>1155</v>
      </c>
      <c r="F506" s="68" t="s">
        <v>334</v>
      </c>
      <c r="G506" s="81">
        <v>0</v>
      </c>
      <c r="H506" s="81">
        <v>20.226109999999998</v>
      </c>
    </row>
    <row r="507" spans="1:8" ht="69.75" customHeight="1">
      <c r="A507" s="173" t="s">
        <v>998</v>
      </c>
      <c r="B507" s="120" t="s">
        <v>82</v>
      </c>
      <c r="C507" s="68" t="s">
        <v>154</v>
      </c>
      <c r="D507" s="68" t="s">
        <v>156</v>
      </c>
      <c r="E507" s="276" t="s">
        <v>999</v>
      </c>
      <c r="F507" s="68"/>
      <c r="G507" s="81">
        <f>G508</f>
        <v>0</v>
      </c>
      <c r="H507" s="81">
        <f>H508</f>
        <v>3884.9</v>
      </c>
    </row>
    <row r="508" spans="1:8" ht="42" customHeight="1">
      <c r="A508" s="138" t="s">
        <v>205</v>
      </c>
      <c r="B508" s="120" t="s">
        <v>82</v>
      </c>
      <c r="C508" s="68" t="s">
        <v>154</v>
      </c>
      <c r="D508" s="68" t="s">
        <v>156</v>
      </c>
      <c r="E508" s="276" t="s">
        <v>999</v>
      </c>
      <c r="F508" s="68" t="s">
        <v>202</v>
      </c>
      <c r="G508" s="81">
        <v>0</v>
      </c>
      <c r="H508" s="81">
        <v>3884.9</v>
      </c>
    </row>
    <row r="509" spans="1:8">
      <c r="A509" s="51" t="s">
        <v>302</v>
      </c>
      <c r="B509" s="271" t="s">
        <v>82</v>
      </c>
      <c r="C509" s="75" t="s">
        <v>157</v>
      </c>
      <c r="D509" s="75" t="s">
        <v>155</v>
      </c>
      <c r="E509" s="75"/>
      <c r="F509" s="75"/>
      <c r="G509" s="76">
        <f t="shared" ref="G509:H510" si="31">G510</f>
        <v>1500</v>
      </c>
      <c r="H509" s="76">
        <f>H516</f>
        <v>1500</v>
      </c>
    </row>
    <row r="510" spans="1:8" ht="47.25">
      <c r="A510" s="570" t="s">
        <v>948</v>
      </c>
      <c r="B510" s="155" t="s">
        <v>82</v>
      </c>
      <c r="C510" s="155" t="s">
        <v>157</v>
      </c>
      <c r="D510" s="155" t="s">
        <v>155</v>
      </c>
      <c r="E510" s="571" t="s">
        <v>574</v>
      </c>
      <c r="F510" s="155"/>
      <c r="G510" s="163">
        <f>G511+G514</f>
        <v>1500</v>
      </c>
      <c r="H510" s="81">
        <f t="shared" si="31"/>
        <v>0</v>
      </c>
    </row>
    <row r="511" spans="1:8" ht="31.5">
      <c r="A511" s="277" t="s">
        <v>354</v>
      </c>
      <c r="B511" s="120" t="s">
        <v>82</v>
      </c>
      <c r="C511" s="68" t="s">
        <v>157</v>
      </c>
      <c r="D511" s="68" t="s">
        <v>155</v>
      </c>
      <c r="E511" s="68" t="s">
        <v>575</v>
      </c>
      <c r="F511" s="68"/>
      <c r="G511" s="81">
        <f>G512</f>
        <v>1400</v>
      </c>
      <c r="H511" s="81">
        <f>H512</f>
        <v>0</v>
      </c>
    </row>
    <row r="512" spans="1:8" ht="204.75">
      <c r="A512" s="247" t="s">
        <v>525</v>
      </c>
      <c r="B512" s="120" t="s">
        <v>82</v>
      </c>
      <c r="C512" s="68" t="s">
        <v>157</v>
      </c>
      <c r="D512" s="68" t="s">
        <v>155</v>
      </c>
      <c r="E512" s="67"/>
      <c r="F512" s="68"/>
      <c r="G512" s="81">
        <f>G513</f>
        <v>1400</v>
      </c>
      <c r="H512" s="81">
        <v>0</v>
      </c>
    </row>
    <row r="513" spans="1:8">
      <c r="A513" s="138" t="s">
        <v>205</v>
      </c>
      <c r="B513" s="120" t="s">
        <v>82</v>
      </c>
      <c r="C513" s="68" t="s">
        <v>157</v>
      </c>
      <c r="D513" s="68" t="s">
        <v>155</v>
      </c>
      <c r="E513" s="120" t="s">
        <v>655</v>
      </c>
      <c r="F513" s="120" t="s">
        <v>202</v>
      </c>
      <c r="G513" s="81">
        <v>1400</v>
      </c>
      <c r="H513" s="81">
        <v>0</v>
      </c>
    </row>
    <row r="514" spans="1:8" ht="31.5">
      <c r="A514" s="569" t="s">
        <v>352</v>
      </c>
      <c r="B514" s="120" t="s">
        <v>82</v>
      </c>
      <c r="C514" s="68" t="s">
        <v>157</v>
      </c>
      <c r="D514" s="68" t="s">
        <v>155</v>
      </c>
      <c r="E514" s="120" t="s">
        <v>669</v>
      </c>
      <c r="F514" s="120"/>
      <c r="G514" s="81">
        <f t="shared" ref="G514" si="32">G515</f>
        <v>100</v>
      </c>
      <c r="H514" s="81">
        <v>0</v>
      </c>
    </row>
    <row r="515" spans="1:8" ht="204.75">
      <c r="A515" s="247" t="s">
        <v>525</v>
      </c>
      <c r="B515" s="120" t="s">
        <v>82</v>
      </c>
      <c r="C515" s="68" t="s">
        <v>157</v>
      </c>
      <c r="D515" s="68" t="s">
        <v>155</v>
      </c>
      <c r="E515" s="120" t="s">
        <v>669</v>
      </c>
      <c r="F515" s="120"/>
      <c r="G515" s="81">
        <v>100</v>
      </c>
      <c r="H515" s="81">
        <v>0</v>
      </c>
    </row>
    <row r="516" spans="1:8">
      <c r="A516" s="48" t="s">
        <v>359</v>
      </c>
      <c r="B516" s="68" t="s">
        <v>82</v>
      </c>
      <c r="C516" s="68" t="s">
        <v>157</v>
      </c>
      <c r="D516" s="68" t="s">
        <v>155</v>
      </c>
      <c r="E516" s="120" t="s">
        <v>689</v>
      </c>
      <c r="F516" s="68"/>
      <c r="G516" s="81">
        <f t="shared" ref="G516:H517" si="33">G517</f>
        <v>1500</v>
      </c>
      <c r="H516" s="81">
        <f t="shared" si="33"/>
        <v>1500</v>
      </c>
    </row>
    <row r="517" spans="1:8" ht="204.75">
      <c r="A517" s="247" t="s">
        <v>525</v>
      </c>
      <c r="B517" s="68" t="s">
        <v>82</v>
      </c>
      <c r="C517" s="68" t="s">
        <v>157</v>
      </c>
      <c r="D517" s="68" t="s">
        <v>155</v>
      </c>
      <c r="E517" s="120" t="s">
        <v>688</v>
      </c>
      <c r="F517" s="68"/>
      <c r="G517" s="81">
        <f t="shared" si="33"/>
        <v>1500</v>
      </c>
      <c r="H517" s="81">
        <f>H518</f>
        <v>1500</v>
      </c>
    </row>
    <row r="518" spans="1:8">
      <c r="A518" s="48" t="s">
        <v>205</v>
      </c>
      <c r="B518" s="68" t="s">
        <v>82</v>
      </c>
      <c r="C518" s="68" t="s">
        <v>157</v>
      </c>
      <c r="D518" s="68" t="s">
        <v>155</v>
      </c>
      <c r="E518" s="120" t="s">
        <v>688</v>
      </c>
      <c r="F518" s="68" t="s">
        <v>202</v>
      </c>
      <c r="G518" s="81">
        <v>1500</v>
      </c>
      <c r="H518" s="81">
        <v>1500</v>
      </c>
    </row>
    <row r="519" spans="1:8" ht="28.5">
      <c r="A519" s="468" t="s">
        <v>458</v>
      </c>
      <c r="B519" s="469" t="s">
        <v>457</v>
      </c>
      <c r="C519" s="470"/>
      <c r="D519" s="470"/>
      <c r="E519" s="469"/>
      <c r="F519" s="469"/>
      <c r="G519" s="471">
        <f>G520+G535+G548+G563+G566</f>
        <v>144244.50066999998</v>
      </c>
      <c r="H519" s="471">
        <f>H520+H535+H548+H563</f>
        <v>144756.54666999998</v>
      </c>
    </row>
    <row r="520" spans="1:8">
      <c r="A520" s="51" t="s">
        <v>206</v>
      </c>
      <c r="B520" s="78" t="s">
        <v>457</v>
      </c>
      <c r="C520" s="78" t="s">
        <v>161</v>
      </c>
      <c r="D520" s="78" t="s">
        <v>156</v>
      </c>
      <c r="E520" s="78"/>
      <c r="F520" s="78"/>
      <c r="G520" s="471">
        <f>G521</f>
        <v>116702.30899999999</v>
      </c>
      <c r="H520" s="471">
        <f>H521+H529</f>
        <v>118482.28</v>
      </c>
    </row>
    <row r="521" spans="1:8" ht="31.5">
      <c r="A521" s="496" t="s">
        <v>949</v>
      </c>
      <c r="B521" s="144" t="s">
        <v>457</v>
      </c>
      <c r="C521" s="144" t="s">
        <v>161</v>
      </c>
      <c r="D521" s="144" t="s">
        <v>156</v>
      </c>
      <c r="E521" s="636" t="s">
        <v>679</v>
      </c>
      <c r="F521" s="152"/>
      <c r="G521" s="688">
        <f>G522+G525+G530+G527</f>
        <v>116702.30899999999</v>
      </c>
      <c r="H521" s="688">
        <f>H522+H525</f>
        <v>0</v>
      </c>
    </row>
    <row r="522" spans="1:8" ht="69" customHeight="1">
      <c r="A522" s="133" t="s">
        <v>643</v>
      </c>
      <c r="B522" s="67" t="s">
        <v>457</v>
      </c>
      <c r="C522" s="67" t="s">
        <v>161</v>
      </c>
      <c r="D522" s="67" t="s">
        <v>156</v>
      </c>
      <c r="E522" s="508" t="s">
        <v>679</v>
      </c>
      <c r="F522" s="67"/>
      <c r="G522" s="474">
        <f>G523+G524</f>
        <v>16095.708999999999</v>
      </c>
      <c r="H522" s="474">
        <f>H523</f>
        <v>0</v>
      </c>
    </row>
    <row r="523" spans="1:8" ht="48.75" customHeight="1">
      <c r="A523" s="123" t="s">
        <v>209</v>
      </c>
      <c r="B523" s="68" t="s">
        <v>457</v>
      </c>
      <c r="C523" s="67" t="s">
        <v>161</v>
      </c>
      <c r="D523" s="67" t="s">
        <v>156</v>
      </c>
      <c r="E523" s="68" t="s">
        <v>971</v>
      </c>
      <c r="F523" s="68" t="s">
        <v>312</v>
      </c>
      <c r="G523" s="474">
        <v>13188.598</v>
      </c>
      <c r="H523" s="474">
        <v>0</v>
      </c>
    </row>
    <row r="524" spans="1:8" ht="48.75" customHeight="1">
      <c r="A524" s="123" t="s">
        <v>523</v>
      </c>
      <c r="B524" s="68" t="s">
        <v>457</v>
      </c>
      <c r="C524" s="67" t="s">
        <v>161</v>
      </c>
      <c r="D524" s="67" t="s">
        <v>156</v>
      </c>
      <c r="E524" s="68" t="s">
        <v>971</v>
      </c>
      <c r="F524" s="68" t="s">
        <v>71</v>
      </c>
      <c r="G524" s="474">
        <v>2907.1109999999999</v>
      </c>
      <c r="H524" s="474">
        <v>0</v>
      </c>
    </row>
    <row r="525" spans="1:8" ht="48.75" customHeight="1">
      <c r="A525" s="133" t="s">
        <v>547</v>
      </c>
      <c r="B525" s="67" t="s">
        <v>457</v>
      </c>
      <c r="C525" s="67" t="s">
        <v>161</v>
      </c>
      <c r="D525" s="67" t="s">
        <v>156</v>
      </c>
      <c r="E525" s="68" t="s">
        <v>691</v>
      </c>
      <c r="F525" s="67"/>
      <c r="G525" s="80">
        <f>G526</f>
        <v>606.59999999999854</v>
      </c>
      <c r="H525" s="474">
        <f>H526</f>
        <v>0</v>
      </c>
    </row>
    <row r="526" spans="1:8" ht="31.5">
      <c r="A526" s="123" t="s">
        <v>209</v>
      </c>
      <c r="B526" s="68" t="s">
        <v>457</v>
      </c>
      <c r="C526" s="68" t="s">
        <v>161</v>
      </c>
      <c r="D526" s="68" t="s">
        <v>156</v>
      </c>
      <c r="E526" s="68" t="s">
        <v>691</v>
      </c>
      <c r="F526" s="68" t="s">
        <v>312</v>
      </c>
      <c r="G526" s="81">
        <f>50606.6-50000</f>
        <v>606.59999999999854</v>
      </c>
      <c r="H526" s="474">
        <v>0</v>
      </c>
    </row>
    <row r="527" spans="1:8" ht="47.25">
      <c r="A527" s="123" t="s">
        <v>972</v>
      </c>
      <c r="B527" s="68" t="s">
        <v>457</v>
      </c>
      <c r="C527" s="68" t="s">
        <v>161</v>
      </c>
      <c r="D527" s="68" t="s">
        <v>156</v>
      </c>
      <c r="E527" s="68" t="s">
        <v>893</v>
      </c>
      <c r="F527" s="68"/>
      <c r="G527" s="81">
        <f>G528</f>
        <v>100000</v>
      </c>
      <c r="H527" s="474">
        <f>H528</f>
        <v>0</v>
      </c>
    </row>
    <row r="528" spans="1:8" ht="48.75" customHeight="1">
      <c r="A528" s="123" t="s">
        <v>209</v>
      </c>
      <c r="B528" s="68" t="s">
        <v>457</v>
      </c>
      <c r="C528" s="68" t="s">
        <v>161</v>
      </c>
      <c r="D528" s="68" t="s">
        <v>156</v>
      </c>
      <c r="E528" s="68" t="s">
        <v>893</v>
      </c>
      <c r="F528" s="68" t="s">
        <v>312</v>
      </c>
      <c r="G528" s="81">
        <v>100000</v>
      </c>
      <c r="H528" s="474">
        <v>0</v>
      </c>
    </row>
    <row r="529" spans="1:8" ht="48.75" customHeight="1">
      <c r="A529" s="123" t="s">
        <v>359</v>
      </c>
      <c r="B529" s="68" t="s">
        <v>457</v>
      </c>
      <c r="C529" s="68" t="s">
        <v>161</v>
      </c>
      <c r="D529" s="68" t="s">
        <v>156</v>
      </c>
      <c r="E529" s="68"/>
      <c r="F529" s="68"/>
      <c r="G529" s="81">
        <v>0</v>
      </c>
      <c r="H529" s="474">
        <f>H530+H531+H533</f>
        <v>118482.28</v>
      </c>
    </row>
    <row r="530" spans="1:8" ht="31.5">
      <c r="A530" s="123" t="s">
        <v>209</v>
      </c>
      <c r="B530" s="68" t="s">
        <v>457</v>
      </c>
      <c r="C530" s="67" t="s">
        <v>161</v>
      </c>
      <c r="D530" s="67" t="s">
        <v>156</v>
      </c>
      <c r="E530" s="68" t="s">
        <v>1159</v>
      </c>
      <c r="F530" s="68" t="s">
        <v>312</v>
      </c>
      <c r="G530" s="474">
        <v>0</v>
      </c>
      <c r="H530" s="474">
        <v>17875.68</v>
      </c>
    </row>
    <row r="531" spans="1:8" ht="47.25">
      <c r="A531" s="133" t="s">
        <v>547</v>
      </c>
      <c r="B531" s="67" t="s">
        <v>457</v>
      </c>
      <c r="C531" s="67" t="s">
        <v>161</v>
      </c>
      <c r="D531" s="67" t="s">
        <v>156</v>
      </c>
      <c r="E531" s="68" t="s">
        <v>1193</v>
      </c>
      <c r="F531" s="67"/>
      <c r="G531" s="80">
        <f>G532</f>
        <v>0</v>
      </c>
      <c r="H531" s="474">
        <f>H532</f>
        <v>606.6</v>
      </c>
    </row>
    <row r="532" spans="1:8" ht="31.5">
      <c r="A532" s="123" t="s">
        <v>209</v>
      </c>
      <c r="B532" s="68" t="s">
        <v>457</v>
      </c>
      <c r="C532" s="68" t="s">
        <v>161</v>
      </c>
      <c r="D532" s="68" t="s">
        <v>156</v>
      </c>
      <c r="E532" s="68" t="s">
        <v>1193</v>
      </c>
      <c r="F532" s="68" t="s">
        <v>312</v>
      </c>
      <c r="G532" s="81">
        <v>0</v>
      </c>
      <c r="H532" s="474">
        <v>606.6</v>
      </c>
    </row>
    <row r="533" spans="1:8" ht="47.25">
      <c r="A533" s="123" t="s">
        <v>972</v>
      </c>
      <c r="B533" s="68" t="s">
        <v>457</v>
      </c>
      <c r="C533" s="68" t="s">
        <v>161</v>
      </c>
      <c r="D533" s="68" t="s">
        <v>156</v>
      </c>
      <c r="E533" s="68" t="s">
        <v>1194</v>
      </c>
      <c r="F533" s="68"/>
      <c r="G533" s="81">
        <f>G534</f>
        <v>0</v>
      </c>
      <c r="H533" s="474">
        <f>H534</f>
        <v>100000</v>
      </c>
    </row>
    <row r="534" spans="1:8" ht="31.5">
      <c r="A534" s="123" t="s">
        <v>209</v>
      </c>
      <c r="B534" s="68" t="s">
        <v>457</v>
      </c>
      <c r="C534" s="68" t="s">
        <v>161</v>
      </c>
      <c r="D534" s="68" t="s">
        <v>156</v>
      </c>
      <c r="E534" s="68" t="s">
        <v>1194</v>
      </c>
      <c r="F534" s="68" t="s">
        <v>312</v>
      </c>
      <c r="G534" s="81">
        <v>0</v>
      </c>
      <c r="H534" s="474">
        <v>100000</v>
      </c>
    </row>
    <row r="535" spans="1:8">
      <c r="A535" s="51" t="s">
        <v>25</v>
      </c>
      <c r="B535" s="75" t="s">
        <v>457</v>
      </c>
      <c r="C535" s="75" t="s">
        <v>161</v>
      </c>
      <c r="D535" s="75" t="s">
        <v>159</v>
      </c>
      <c r="E535" s="75"/>
      <c r="F535" s="75"/>
      <c r="G535" s="76">
        <f>G536</f>
        <v>10636.125</v>
      </c>
      <c r="H535" s="76">
        <f>H536</f>
        <v>9368.2000000000007</v>
      </c>
    </row>
    <row r="536" spans="1:8">
      <c r="A536" s="142" t="s">
        <v>359</v>
      </c>
      <c r="B536" s="144" t="s">
        <v>457</v>
      </c>
      <c r="C536" s="144" t="s">
        <v>161</v>
      </c>
      <c r="D536" s="144" t="s">
        <v>159</v>
      </c>
      <c r="E536" s="144" t="s">
        <v>0</v>
      </c>
      <c r="F536" s="144"/>
      <c r="G536" s="146">
        <f>G537+G538+G540+G544+G546+G542</f>
        <v>10636.125</v>
      </c>
      <c r="H536" s="146">
        <f>H537+H538+H540+H544+H546+H542</f>
        <v>9368.2000000000007</v>
      </c>
    </row>
    <row r="537" spans="1:8" ht="31.5">
      <c r="A537" s="123" t="s">
        <v>209</v>
      </c>
      <c r="B537" s="68" t="s">
        <v>457</v>
      </c>
      <c r="C537" s="68" t="s">
        <v>161</v>
      </c>
      <c r="D537" s="68" t="s">
        <v>159</v>
      </c>
      <c r="E537" s="68" t="s">
        <v>1157</v>
      </c>
      <c r="F537" s="68" t="s">
        <v>312</v>
      </c>
      <c r="G537" s="81">
        <f>2150+240</f>
        <v>2390</v>
      </c>
      <c r="H537" s="81">
        <f>2150-240</f>
        <v>1910</v>
      </c>
    </row>
    <row r="538" spans="1:8" ht="47.25">
      <c r="A538" s="46" t="s">
        <v>336</v>
      </c>
      <c r="B538" s="67" t="s">
        <v>457</v>
      </c>
      <c r="C538" s="67" t="s">
        <v>161</v>
      </c>
      <c r="D538" s="67" t="s">
        <v>159</v>
      </c>
      <c r="E538" s="67" t="s">
        <v>974</v>
      </c>
      <c r="F538" s="67"/>
      <c r="G538" s="80">
        <f>G539</f>
        <v>0</v>
      </c>
      <c r="H538" s="80">
        <f>H539</f>
        <v>240</v>
      </c>
    </row>
    <row r="539" spans="1:8" ht="41.25" customHeight="1">
      <c r="A539" s="123" t="s">
        <v>209</v>
      </c>
      <c r="B539" s="68" t="s">
        <v>457</v>
      </c>
      <c r="C539" s="68" t="s">
        <v>161</v>
      </c>
      <c r="D539" s="68" t="s">
        <v>159</v>
      </c>
      <c r="E539" s="67" t="s">
        <v>974</v>
      </c>
      <c r="F539" s="68" t="s">
        <v>312</v>
      </c>
      <c r="G539" s="81">
        <v>0</v>
      </c>
      <c r="H539" s="81">
        <v>240</v>
      </c>
    </row>
    <row r="540" spans="1:8" ht="47.25">
      <c r="A540" s="374" t="s">
        <v>419</v>
      </c>
      <c r="B540" s="67" t="s">
        <v>457</v>
      </c>
      <c r="C540" s="67" t="s">
        <v>161</v>
      </c>
      <c r="D540" s="67" t="s">
        <v>159</v>
      </c>
      <c r="E540" s="67" t="s">
        <v>974</v>
      </c>
      <c r="F540" s="67"/>
      <c r="G540" s="80">
        <f>G541</f>
        <v>213.125</v>
      </c>
      <c r="H540" s="80">
        <v>0</v>
      </c>
    </row>
    <row r="541" spans="1:8" ht="31.5">
      <c r="A541" s="123" t="s">
        <v>209</v>
      </c>
      <c r="B541" s="68" t="s">
        <v>457</v>
      </c>
      <c r="C541" s="68" t="s">
        <v>161</v>
      </c>
      <c r="D541" s="68" t="s">
        <v>159</v>
      </c>
      <c r="E541" s="67" t="s">
        <v>974</v>
      </c>
      <c r="F541" s="68" t="s">
        <v>312</v>
      </c>
      <c r="G541" s="81">
        <v>213.125</v>
      </c>
      <c r="H541" s="81">
        <v>0</v>
      </c>
    </row>
    <row r="542" spans="1:8">
      <c r="A542" s="123" t="s">
        <v>769</v>
      </c>
      <c r="B542" s="68" t="s">
        <v>457</v>
      </c>
      <c r="C542" s="68" t="s">
        <v>161</v>
      </c>
      <c r="D542" s="68" t="s">
        <v>159</v>
      </c>
      <c r="E542" s="68" t="s">
        <v>1247</v>
      </c>
      <c r="F542" s="68"/>
      <c r="G542" s="81">
        <f>G543</f>
        <v>703</v>
      </c>
      <c r="H542" s="81">
        <f>H543</f>
        <v>688.2</v>
      </c>
    </row>
    <row r="543" spans="1:8" ht="31.5">
      <c r="A543" s="123" t="s">
        <v>209</v>
      </c>
      <c r="B543" s="68" t="s">
        <v>457</v>
      </c>
      <c r="C543" s="68" t="s">
        <v>161</v>
      </c>
      <c r="D543" s="68" t="s">
        <v>159</v>
      </c>
      <c r="E543" s="68" t="s">
        <v>1247</v>
      </c>
      <c r="F543" s="68" t="s">
        <v>312</v>
      </c>
      <c r="G543" s="81">
        <v>703</v>
      </c>
      <c r="H543" s="81">
        <v>688.2</v>
      </c>
    </row>
    <row r="544" spans="1:8" ht="60.75" customHeight="1">
      <c r="A544" s="46" t="s">
        <v>70</v>
      </c>
      <c r="B544" s="69">
        <v>937</v>
      </c>
      <c r="C544" s="67" t="s">
        <v>161</v>
      </c>
      <c r="D544" s="67" t="s">
        <v>159</v>
      </c>
      <c r="E544" s="68" t="s">
        <v>1158</v>
      </c>
      <c r="F544" s="67"/>
      <c r="G544" s="81">
        <f>G545</f>
        <v>6530</v>
      </c>
      <c r="H544" s="81">
        <f>H545</f>
        <v>6530</v>
      </c>
    </row>
    <row r="545" spans="1:8" ht="31.5">
      <c r="A545" s="123" t="s">
        <v>209</v>
      </c>
      <c r="B545" s="70">
        <v>937</v>
      </c>
      <c r="C545" s="68" t="s">
        <v>161</v>
      </c>
      <c r="D545" s="68" t="s">
        <v>159</v>
      </c>
      <c r="E545" s="68" t="s">
        <v>1158</v>
      </c>
      <c r="F545" s="68" t="s">
        <v>312</v>
      </c>
      <c r="G545" s="81">
        <v>6530</v>
      </c>
      <c r="H545" s="81">
        <v>6530</v>
      </c>
    </row>
    <row r="546" spans="1:8" ht="78.75">
      <c r="A546" s="46" t="s">
        <v>417</v>
      </c>
      <c r="B546" s="69">
        <v>937</v>
      </c>
      <c r="C546" s="67" t="s">
        <v>161</v>
      </c>
      <c r="D546" s="67" t="s">
        <v>159</v>
      </c>
      <c r="E546" s="68" t="s">
        <v>1158</v>
      </c>
      <c r="F546" s="68"/>
      <c r="G546" s="81">
        <f>G547</f>
        <v>800</v>
      </c>
      <c r="H546" s="81">
        <f>H547</f>
        <v>0</v>
      </c>
    </row>
    <row r="547" spans="1:8" ht="31.5">
      <c r="A547" s="123" t="s">
        <v>209</v>
      </c>
      <c r="B547" s="70">
        <v>937</v>
      </c>
      <c r="C547" s="68" t="s">
        <v>161</v>
      </c>
      <c r="D547" s="68" t="s">
        <v>159</v>
      </c>
      <c r="E547" s="68" t="s">
        <v>1158</v>
      </c>
      <c r="F547" s="68" t="s">
        <v>312</v>
      </c>
      <c r="G547" s="81">
        <v>800</v>
      </c>
      <c r="H547" s="81">
        <v>0</v>
      </c>
    </row>
    <row r="548" spans="1:8">
      <c r="A548" s="472" t="s">
        <v>207</v>
      </c>
      <c r="B548" s="469" t="s">
        <v>457</v>
      </c>
      <c r="C548" s="470" t="s">
        <v>162</v>
      </c>
      <c r="D548" s="470"/>
      <c r="E548" s="469"/>
      <c r="F548" s="469"/>
      <c r="G548" s="471">
        <f>G555+G549</f>
        <v>16360.766670000001</v>
      </c>
      <c r="H548" s="471">
        <f>H555+H549</f>
        <v>16360.766670000001</v>
      </c>
    </row>
    <row r="549" spans="1:8">
      <c r="A549" s="52" t="s">
        <v>427</v>
      </c>
      <c r="B549" s="68" t="s">
        <v>457</v>
      </c>
      <c r="C549" s="75" t="s">
        <v>162</v>
      </c>
      <c r="D549" s="75" t="s">
        <v>153</v>
      </c>
      <c r="E549" s="68"/>
      <c r="F549" s="68"/>
      <c r="G549" s="471">
        <f>G550</f>
        <v>11573.666670000001</v>
      </c>
      <c r="H549" s="471">
        <f>H550</f>
        <v>11573.666670000001</v>
      </c>
    </row>
    <row r="550" spans="1:8">
      <c r="A550" s="123" t="s">
        <v>359</v>
      </c>
      <c r="B550" s="68" t="s">
        <v>457</v>
      </c>
      <c r="C550" s="68" t="s">
        <v>162</v>
      </c>
      <c r="D550" s="68" t="s">
        <v>153</v>
      </c>
      <c r="E550" s="68" t="s">
        <v>0</v>
      </c>
      <c r="F550" s="68"/>
      <c r="G550" s="471">
        <f>G551+G553</f>
        <v>11573.666670000001</v>
      </c>
      <c r="H550" s="471">
        <f>H551+H553</f>
        <v>11573.666670000001</v>
      </c>
    </row>
    <row r="551" spans="1:8" ht="35.25" customHeight="1">
      <c r="A551" s="48" t="s">
        <v>538</v>
      </c>
      <c r="B551" s="68" t="s">
        <v>457</v>
      </c>
      <c r="C551" s="68" t="s">
        <v>162</v>
      </c>
      <c r="D551" s="68" t="s">
        <v>153</v>
      </c>
      <c r="E551" s="68" t="s">
        <v>975</v>
      </c>
      <c r="F551" s="68"/>
      <c r="G551" s="471">
        <f>G552</f>
        <v>10393</v>
      </c>
      <c r="H551" s="471">
        <f>H552</f>
        <v>10393</v>
      </c>
    </row>
    <row r="552" spans="1:8" ht="35.25" customHeight="1">
      <c r="A552" s="123" t="s">
        <v>209</v>
      </c>
      <c r="B552" s="68" t="s">
        <v>457</v>
      </c>
      <c r="C552" s="68" t="s">
        <v>162</v>
      </c>
      <c r="D552" s="68" t="s">
        <v>153</v>
      </c>
      <c r="E552" s="68" t="s">
        <v>975</v>
      </c>
      <c r="F552" s="68" t="s">
        <v>312</v>
      </c>
      <c r="G552" s="471">
        <v>10393</v>
      </c>
      <c r="H552" s="471">
        <v>10393</v>
      </c>
    </row>
    <row r="553" spans="1:8" ht="35.25" customHeight="1">
      <c r="A553" s="123" t="s">
        <v>426</v>
      </c>
      <c r="B553" s="68" t="s">
        <v>457</v>
      </c>
      <c r="C553" s="68" t="s">
        <v>162</v>
      </c>
      <c r="D553" s="68" t="s">
        <v>153</v>
      </c>
      <c r="E553" s="68" t="s">
        <v>975</v>
      </c>
      <c r="F553" s="68"/>
      <c r="G553" s="471">
        <f>G554</f>
        <v>1180.6666700000001</v>
      </c>
      <c r="H553" s="471">
        <f>H554</f>
        <v>1180.6666700000001</v>
      </c>
    </row>
    <row r="554" spans="1:8" ht="31.5">
      <c r="A554" s="123" t="s">
        <v>209</v>
      </c>
      <c r="B554" s="68" t="s">
        <v>457</v>
      </c>
      <c r="C554" s="68" t="s">
        <v>162</v>
      </c>
      <c r="D554" s="68" t="s">
        <v>153</v>
      </c>
      <c r="E554" s="68" t="s">
        <v>975</v>
      </c>
      <c r="F554" s="68" t="s">
        <v>312</v>
      </c>
      <c r="G554" s="81">
        <v>1180.6666700000001</v>
      </c>
      <c r="H554" s="81">
        <v>1180.6666700000001</v>
      </c>
    </row>
    <row r="555" spans="1:8">
      <c r="A555" s="473" t="s">
        <v>22</v>
      </c>
      <c r="B555" s="469" t="s">
        <v>457</v>
      </c>
      <c r="C555" s="470" t="s">
        <v>162</v>
      </c>
      <c r="D555" s="470" t="s">
        <v>162</v>
      </c>
      <c r="E555" s="469"/>
      <c r="F555" s="469"/>
      <c r="G555" s="471">
        <f t="shared" ref="G555:H558" si="34">G556</f>
        <v>4787.1000000000004</v>
      </c>
      <c r="H555" s="471">
        <f t="shared" si="34"/>
        <v>4787.1000000000004</v>
      </c>
    </row>
    <row r="556" spans="1:8" ht="33.75" customHeight="1">
      <c r="A556" s="608" t="s">
        <v>359</v>
      </c>
      <c r="B556" s="611" t="s">
        <v>457</v>
      </c>
      <c r="C556" s="611" t="s">
        <v>162</v>
      </c>
      <c r="D556" s="611" t="s">
        <v>162</v>
      </c>
      <c r="E556" s="606" t="s">
        <v>384</v>
      </c>
      <c r="F556" s="611"/>
      <c r="G556" s="612">
        <f t="shared" si="34"/>
        <v>4787.1000000000004</v>
      </c>
      <c r="H556" s="612">
        <f t="shared" si="34"/>
        <v>4787.1000000000004</v>
      </c>
    </row>
    <row r="557" spans="1:8">
      <c r="A557" s="164" t="s">
        <v>359</v>
      </c>
      <c r="B557" s="120" t="s">
        <v>457</v>
      </c>
      <c r="C557" s="68" t="s">
        <v>162</v>
      </c>
      <c r="D557" s="68" t="s">
        <v>162</v>
      </c>
      <c r="E557" s="68"/>
      <c r="F557" s="68"/>
      <c r="G557" s="81">
        <f t="shared" si="34"/>
        <v>4787.1000000000004</v>
      </c>
      <c r="H557" s="81">
        <f t="shared" si="34"/>
        <v>4787.1000000000004</v>
      </c>
    </row>
    <row r="558" spans="1:8" ht="31.5">
      <c r="A558" s="48" t="s">
        <v>323</v>
      </c>
      <c r="B558" s="120" t="s">
        <v>457</v>
      </c>
      <c r="C558" s="68" t="s">
        <v>162</v>
      </c>
      <c r="D558" s="68" t="s">
        <v>162</v>
      </c>
      <c r="E558" s="68" t="s">
        <v>382</v>
      </c>
      <c r="F558" s="68"/>
      <c r="G558" s="81">
        <f t="shared" si="34"/>
        <v>4787.1000000000004</v>
      </c>
      <c r="H558" s="81">
        <f t="shared" si="34"/>
        <v>4787.1000000000004</v>
      </c>
    </row>
    <row r="559" spans="1:8" ht="31.5">
      <c r="A559" s="97" t="s">
        <v>952</v>
      </c>
      <c r="B559" s="120" t="s">
        <v>457</v>
      </c>
      <c r="C559" s="68" t="s">
        <v>162</v>
      </c>
      <c r="D559" s="68" t="s">
        <v>162</v>
      </c>
      <c r="E559" s="68" t="s">
        <v>383</v>
      </c>
      <c r="F559" s="68"/>
      <c r="G559" s="81">
        <f>G560+G561+G562</f>
        <v>4787.1000000000004</v>
      </c>
      <c r="H559" s="81">
        <f>H560+H561+H562</f>
        <v>4787.1000000000004</v>
      </c>
    </row>
    <row r="560" spans="1:8" ht="31.5">
      <c r="A560" s="48" t="s">
        <v>110</v>
      </c>
      <c r="B560" s="120" t="s">
        <v>457</v>
      </c>
      <c r="C560" s="68" t="s">
        <v>162</v>
      </c>
      <c r="D560" s="68" t="s">
        <v>162</v>
      </c>
      <c r="E560" s="68" t="s">
        <v>383</v>
      </c>
      <c r="F560" s="68" t="s">
        <v>311</v>
      </c>
      <c r="G560" s="81">
        <v>3661.4</v>
      </c>
      <c r="H560" s="81">
        <v>3661.4</v>
      </c>
    </row>
    <row r="561" spans="1:8" ht="31.5">
      <c r="A561" s="48" t="s">
        <v>6</v>
      </c>
      <c r="B561" s="120" t="s">
        <v>457</v>
      </c>
      <c r="C561" s="68" t="s">
        <v>162</v>
      </c>
      <c r="D561" s="68" t="s">
        <v>162</v>
      </c>
      <c r="E561" s="68" t="s">
        <v>383</v>
      </c>
      <c r="F561" s="68" t="s">
        <v>316</v>
      </c>
      <c r="G561" s="81">
        <v>20</v>
      </c>
      <c r="H561" s="81">
        <v>20</v>
      </c>
    </row>
    <row r="562" spans="1:8" ht="47.25">
      <c r="A562" s="164" t="s">
        <v>325</v>
      </c>
      <c r="B562" s="120" t="s">
        <v>457</v>
      </c>
      <c r="C562" s="68" t="s">
        <v>162</v>
      </c>
      <c r="D562" s="68" t="s">
        <v>162</v>
      </c>
      <c r="E562" s="68" t="s">
        <v>383</v>
      </c>
      <c r="F562" s="68" t="s">
        <v>326</v>
      </c>
      <c r="G562" s="81">
        <v>1105.7</v>
      </c>
      <c r="H562" s="81">
        <v>1105.7</v>
      </c>
    </row>
    <row r="563" spans="1:8">
      <c r="A563" s="466" t="s">
        <v>129</v>
      </c>
      <c r="B563" s="74">
        <v>937</v>
      </c>
      <c r="C563" s="75" t="s">
        <v>158</v>
      </c>
      <c r="D563" s="75" t="s">
        <v>376</v>
      </c>
      <c r="E563" s="75"/>
      <c r="F563" s="398"/>
      <c r="G563" s="76">
        <f>G564</f>
        <v>545.29999999999995</v>
      </c>
      <c r="H563" s="76">
        <f>H564</f>
        <v>545.29999999999995</v>
      </c>
    </row>
    <row r="564" spans="1:8">
      <c r="A564" s="123" t="s">
        <v>933</v>
      </c>
      <c r="B564" s="70">
        <v>937</v>
      </c>
      <c r="C564" s="68" t="s">
        <v>158</v>
      </c>
      <c r="D564" s="68" t="s">
        <v>162</v>
      </c>
      <c r="E564" s="68"/>
      <c r="F564" s="349"/>
      <c r="G564" s="81">
        <f>G565</f>
        <v>545.29999999999995</v>
      </c>
      <c r="H564" s="81">
        <f>H565</f>
        <v>545.29999999999995</v>
      </c>
    </row>
    <row r="565" spans="1:8" ht="31.5">
      <c r="A565" s="123" t="s">
        <v>209</v>
      </c>
      <c r="B565" s="70">
        <v>937</v>
      </c>
      <c r="C565" s="68" t="s">
        <v>158</v>
      </c>
      <c r="D565" s="68" t="s">
        <v>162</v>
      </c>
      <c r="E565" s="68" t="s">
        <v>934</v>
      </c>
      <c r="F565" s="349">
        <v>244</v>
      </c>
      <c r="G565" s="81">
        <v>545.29999999999995</v>
      </c>
      <c r="H565" s="81">
        <v>545.29999999999995</v>
      </c>
    </row>
    <row r="566" spans="1:8" hidden="1">
      <c r="A566" s="269" t="s">
        <v>364</v>
      </c>
      <c r="B566" s="75" t="s">
        <v>457</v>
      </c>
      <c r="C566" s="75" t="s">
        <v>154</v>
      </c>
      <c r="D566" s="75" t="s">
        <v>155</v>
      </c>
      <c r="E566" s="271"/>
      <c r="F566" s="75"/>
      <c r="G566" s="81">
        <f>G567</f>
        <v>0</v>
      </c>
      <c r="H566" s="81">
        <v>0</v>
      </c>
    </row>
    <row r="567" spans="1:8" ht="31.5" hidden="1">
      <c r="A567" s="138" t="s">
        <v>1072</v>
      </c>
      <c r="B567" s="68" t="s">
        <v>457</v>
      </c>
      <c r="C567" s="68" t="s">
        <v>154</v>
      </c>
      <c r="D567" s="68" t="s">
        <v>155</v>
      </c>
      <c r="E567" s="139" t="s">
        <v>1156</v>
      </c>
      <c r="F567" s="68"/>
      <c r="G567" s="81">
        <f>G568</f>
        <v>0</v>
      </c>
      <c r="H567" s="81">
        <f>H568</f>
        <v>0</v>
      </c>
    </row>
    <row r="568" spans="1:8" ht="31.5" hidden="1">
      <c r="A568" s="123" t="s">
        <v>523</v>
      </c>
      <c r="B568" s="68" t="s">
        <v>457</v>
      </c>
      <c r="C568" s="68" t="s">
        <v>154</v>
      </c>
      <c r="D568" s="68" t="s">
        <v>155</v>
      </c>
      <c r="E568" s="139" t="s">
        <v>1156</v>
      </c>
      <c r="F568" s="68" t="s">
        <v>71</v>
      </c>
      <c r="G568" s="81">
        <v>0</v>
      </c>
      <c r="H568" s="81">
        <v>0</v>
      </c>
    </row>
    <row r="569" spans="1:8">
      <c r="A569" s="481" t="s">
        <v>358</v>
      </c>
      <c r="B569" s="68" t="s">
        <v>356</v>
      </c>
      <c r="C569" s="68" t="s">
        <v>357</v>
      </c>
      <c r="D569" s="68" t="s">
        <v>357</v>
      </c>
      <c r="E569" s="68"/>
      <c r="F569" s="68"/>
      <c r="G569" s="81">
        <f t="shared" ref="G569:H573" si="35">G570</f>
        <v>11058.59375</v>
      </c>
      <c r="H569" s="81">
        <f t="shared" si="35"/>
        <v>21556.333999999999</v>
      </c>
    </row>
    <row r="570" spans="1:8">
      <c r="A570" s="305" t="s">
        <v>358</v>
      </c>
      <c r="B570" s="68" t="s">
        <v>356</v>
      </c>
      <c r="C570" s="68" t="s">
        <v>357</v>
      </c>
      <c r="D570" s="68" t="s">
        <v>357</v>
      </c>
      <c r="E570" s="68" t="s">
        <v>0</v>
      </c>
      <c r="F570" s="68"/>
      <c r="G570" s="81">
        <f t="shared" si="35"/>
        <v>11058.59375</v>
      </c>
      <c r="H570" s="81">
        <f t="shared" si="35"/>
        <v>21556.333999999999</v>
      </c>
    </row>
    <row r="571" spans="1:8">
      <c r="A571" s="305" t="s">
        <v>360</v>
      </c>
      <c r="B571" s="68" t="s">
        <v>356</v>
      </c>
      <c r="C571" s="68" t="s">
        <v>357</v>
      </c>
      <c r="D571" s="68" t="s">
        <v>357</v>
      </c>
      <c r="E571" s="68" t="s">
        <v>384</v>
      </c>
      <c r="F571" s="68"/>
      <c r="G571" s="81">
        <f t="shared" si="35"/>
        <v>11058.59375</v>
      </c>
      <c r="H571" s="81">
        <f t="shared" si="35"/>
        <v>21556.333999999999</v>
      </c>
    </row>
    <row r="572" spans="1:8">
      <c r="A572" s="305" t="s">
        <v>359</v>
      </c>
      <c r="B572" s="68" t="s">
        <v>356</v>
      </c>
      <c r="C572" s="68" t="s">
        <v>357</v>
      </c>
      <c r="D572" s="68" t="s">
        <v>357</v>
      </c>
      <c r="E572" s="304" t="s">
        <v>384</v>
      </c>
      <c r="F572" s="68"/>
      <c r="G572" s="81">
        <f t="shared" si="35"/>
        <v>11058.59375</v>
      </c>
      <c r="H572" s="81">
        <f t="shared" si="35"/>
        <v>21556.333999999999</v>
      </c>
    </row>
    <row r="573" spans="1:8">
      <c r="A573" s="305" t="s">
        <v>358</v>
      </c>
      <c r="B573" s="68" t="s">
        <v>356</v>
      </c>
      <c r="C573" s="68" t="s">
        <v>357</v>
      </c>
      <c r="D573" s="68" t="s">
        <v>357</v>
      </c>
      <c r="E573" s="304" t="s">
        <v>375</v>
      </c>
      <c r="F573" s="68"/>
      <c r="G573" s="81">
        <f t="shared" si="35"/>
        <v>11058.59375</v>
      </c>
      <c r="H573" s="81">
        <f t="shared" si="35"/>
        <v>21556.333999999999</v>
      </c>
    </row>
    <row r="574" spans="1:8">
      <c r="A574" s="305" t="s">
        <v>358</v>
      </c>
      <c r="B574" s="68" t="s">
        <v>356</v>
      </c>
      <c r="C574" s="68" t="s">
        <v>357</v>
      </c>
      <c r="D574" s="68" t="s">
        <v>357</v>
      </c>
      <c r="E574" s="304" t="s">
        <v>375</v>
      </c>
      <c r="F574" s="68" t="s">
        <v>356</v>
      </c>
      <c r="G574" s="81">
        <f>(пр.2!D11+пр.4!D14)*2.5%</f>
        <v>11058.59375</v>
      </c>
      <c r="H574" s="81">
        <f>(пр.2!E11+пр.4!E14)*5%</f>
        <v>21556.333999999999</v>
      </c>
    </row>
    <row r="575" spans="1:8" ht="21.75" customHeight="1">
      <c r="A575" s="98" t="s">
        <v>85</v>
      </c>
      <c r="B575" s="68"/>
      <c r="C575" s="68"/>
      <c r="D575" s="68"/>
      <c r="E575" s="68"/>
      <c r="F575" s="74"/>
      <c r="G575" s="76">
        <f>G13+G43+G75+G305+G519+G569</f>
        <v>1352142.7500000002</v>
      </c>
      <c r="H575" s="76">
        <f>H13+H43+H75+H305+H519+H569</f>
        <v>1340355.7800000003</v>
      </c>
    </row>
    <row r="576" spans="1:8" ht="29.25" customHeight="1">
      <c r="G576" s="57">
        <f>пр.2!D11+пр.4!D12</f>
        <v>1352142.75</v>
      </c>
      <c r="H576" s="57">
        <f>пр.2!E11+пр.4!E12</f>
        <v>1340355.7799999998</v>
      </c>
    </row>
    <row r="577" spans="7:8" ht="26.25" customHeight="1">
      <c r="G577" s="57">
        <f>G576-G575</f>
        <v>0</v>
      </c>
      <c r="H577" s="57">
        <f>H576-H575</f>
        <v>0</v>
      </c>
    </row>
  </sheetData>
  <autoFilter ref="A12:N577"/>
  <mergeCells count="8">
    <mergeCell ref="E7:H7"/>
    <mergeCell ref="A9:G10"/>
    <mergeCell ref="E1:H1"/>
    <mergeCell ref="E2:H2"/>
    <mergeCell ref="F3:H3"/>
    <mergeCell ref="F4:H4"/>
    <mergeCell ref="F5:H5"/>
    <mergeCell ref="E6:H6"/>
  </mergeCells>
  <hyperlinks>
    <hyperlink ref="A63" r:id="rId1" tooltip="Муниципальные образования" display="http://www.pandia.ru/text/category/munitcipalmznie_obrazovaniya/"/>
    <hyperlink ref="A66" r:id="rId2" tooltip="Муниципальные образования" display="http://www.pandia.ru/text/category/munitcipalmznie_obrazovaniya/"/>
  </hyperlinks>
  <pageMargins left="0.70866141732283472" right="0.70866141732283472" top="0.74803149606299213" bottom="0.74803149606299213" header="0.31496062992125984" footer="0.31496062992125984"/>
  <pageSetup paperSize="9" scale="47" orientation="portrait" r:id="rId3"/>
  <rowBreaks count="1" manualBreakCount="1">
    <brk id="540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G31"/>
  <sheetViews>
    <sheetView view="pageBreakPreview" workbookViewId="0">
      <selection activeCell="C18" sqref="C18"/>
    </sheetView>
  </sheetViews>
  <sheetFormatPr defaultRowHeight="12.75"/>
  <cols>
    <col min="1" max="1" width="27" style="4" customWidth="1"/>
    <col min="2" max="2" width="53.28515625" style="4" customWidth="1"/>
    <col min="3" max="3" width="19.5703125" style="4" customWidth="1"/>
    <col min="4" max="5" width="10.85546875" style="4" bestFit="1" customWidth="1"/>
    <col min="6" max="6" width="9.140625" style="4"/>
    <col min="7" max="7" width="12.85546875" style="4" bestFit="1" customWidth="1"/>
    <col min="8" max="16384" width="9.140625" style="4"/>
  </cols>
  <sheetData>
    <row r="1" spans="1:6">
      <c r="C1" s="676" t="s">
        <v>690</v>
      </c>
    </row>
    <row r="2" spans="1:6">
      <c r="C2" s="6" t="s">
        <v>141</v>
      </c>
    </row>
    <row r="3" spans="1:6">
      <c r="C3" s="6" t="s">
        <v>240</v>
      </c>
    </row>
    <row r="4" spans="1:6">
      <c r="A4" s="12"/>
      <c r="C4" s="6" t="s">
        <v>104</v>
      </c>
    </row>
    <row r="5" spans="1:6">
      <c r="A5" s="17"/>
      <c r="C5" s="6" t="s">
        <v>241</v>
      </c>
    </row>
    <row r="6" spans="1:6">
      <c r="A6" s="18"/>
      <c r="C6" s="765" t="s">
        <v>1187</v>
      </c>
    </row>
    <row r="7" spans="1:6">
      <c r="A7" s="18"/>
      <c r="B7" s="832" t="s">
        <v>1206</v>
      </c>
      <c r="C7" s="832"/>
      <c r="D7" s="126"/>
    </row>
    <row r="8" spans="1:6">
      <c r="A8" s="8"/>
      <c r="B8" s="8"/>
      <c r="C8" s="8"/>
    </row>
    <row r="9" spans="1:6">
      <c r="A9" s="862" t="s">
        <v>1179</v>
      </c>
      <c r="B9" s="862"/>
      <c r="C9" s="862"/>
    </row>
    <row r="10" spans="1:6" ht="26.25" customHeight="1">
      <c r="A10" s="863"/>
      <c r="B10" s="863"/>
      <c r="C10" s="863"/>
    </row>
    <row r="11" spans="1:6">
      <c r="A11" s="19"/>
      <c r="C11" s="6" t="s">
        <v>105</v>
      </c>
    </row>
    <row r="12" spans="1:6" ht="21" customHeight="1">
      <c r="A12" s="13" t="s">
        <v>48</v>
      </c>
      <c r="B12" s="13" t="s">
        <v>146</v>
      </c>
      <c r="C12" s="13" t="s">
        <v>49</v>
      </c>
    </row>
    <row r="13" spans="1:6">
      <c r="A13" s="24" t="s">
        <v>60</v>
      </c>
      <c r="B13" s="9" t="s">
        <v>50</v>
      </c>
      <c r="C13" s="189">
        <f>C14</f>
        <v>-22391.722999999998</v>
      </c>
      <c r="F13" s="201"/>
    </row>
    <row r="14" spans="1:6" s="5" customFormat="1" ht="25.5">
      <c r="A14" s="25" t="s">
        <v>61</v>
      </c>
      <c r="B14" s="15" t="s">
        <v>51</v>
      </c>
      <c r="C14" s="190">
        <f>C15+C23+C20</f>
        <v>-22391.722999999998</v>
      </c>
    </row>
    <row r="15" spans="1:6" s="5" customFormat="1" ht="25.5">
      <c r="A15" s="25" t="s">
        <v>62</v>
      </c>
      <c r="B15" s="15" t="s">
        <v>142</v>
      </c>
      <c r="C15" s="190">
        <f>C16+C17</f>
        <v>-22391.722999999998</v>
      </c>
      <c r="D15" s="202"/>
      <c r="E15" s="202"/>
    </row>
    <row r="16" spans="1:6" ht="26.25" customHeight="1">
      <c r="A16" s="24" t="s">
        <v>63</v>
      </c>
      <c r="B16" s="9" t="s">
        <v>117</v>
      </c>
      <c r="C16" s="189">
        <v>0</v>
      </c>
    </row>
    <row r="17" spans="1:7" ht="38.25">
      <c r="A17" s="24" t="s">
        <v>64</v>
      </c>
      <c r="B17" s="9" t="s">
        <v>118</v>
      </c>
      <c r="C17" s="189">
        <f>-5891.723-6500-10000</f>
        <v>-22391.722999999998</v>
      </c>
    </row>
    <row r="18" spans="1:7" ht="38.25">
      <c r="A18" s="24" t="s">
        <v>65</v>
      </c>
      <c r="B18" s="9" t="s">
        <v>4</v>
      </c>
      <c r="C18" s="189">
        <v>0</v>
      </c>
    </row>
    <row r="19" spans="1:7" ht="38.25">
      <c r="A19" s="24" t="s">
        <v>66</v>
      </c>
      <c r="B19" s="9" t="s">
        <v>5</v>
      </c>
      <c r="C19" s="189">
        <v>0</v>
      </c>
    </row>
    <row r="20" spans="1:7" ht="25.5" hidden="1">
      <c r="A20" s="25" t="s">
        <v>337</v>
      </c>
      <c r="B20" s="15" t="s">
        <v>338</v>
      </c>
      <c r="C20" s="190">
        <f>C21</f>
        <v>0</v>
      </c>
    </row>
    <row r="21" spans="1:7" ht="25.5" hidden="1">
      <c r="A21" s="24" t="s">
        <v>373</v>
      </c>
      <c r="B21" s="9" t="s">
        <v>113</v>
      </c>
      <c r="C21" s="189">
        <v>0</v>
      </c>
    </row>
    <row r="22" spans="1:7" ht="24.75" hidden="1" customHeight="1">
      <c r="A22" s="24" t="s">
        <v>374</v>
      </c>
      <c r="B22" s="9" t="s">
        <v>114</v>
      </c>
      <c r="C22" s="189">
        <v>0</v>
      </c>
    </row>
    <row r="23" spans="1:7" s="5" customFormat="1" ht="25.5">
      <c r="A23" s="25" t="s">
        <v>67</v>
      </c>
      <c r="B23" s="15" t="s">
        <v>119</v>
      </c>
      <c r="C23" s="190">
        <f>C24+C25</f>
        <v>0</v>
      </c>
      <c r="G23" s="202"/>
    </row>
    <row r="24" spans="1:7">
      <c r="A24" s="24" t="s">
        <v>68</v>
      </c>
      <c r="B24" s="9" t="s">
        <v>120</v>
      </c>
      <c r="C24" s="117">
        <f>C26</f>
        <v>-2119894.7399999998</v>
      </c>
      <c r="G24" s="201"/>
    </row>
    <row r="25" spans="1:7">
      <c r="A25" s="24" t="s">
        <v>230</v>
      </c>
      <c r="B25" s="9" t="s">
        <v>121</v>
      </c>
      <c r="C25" s="117">
        <f>C29</f>
        <v>2119894.7400000002</v>
      </c>
    </row>
    <row r="26" spans="1:7">
      <c r="A26" s="24" t="s">
        <v>231</v>
      </c>
      <c r="B26" s="9" t="s">
        <v>54</v>
      </c>
      <c r="C26" s="117">
        <f>C27</f>
        <v>-2119894.7399999998</v>
      </c>
      <c r="D26" s="4" t="s">
        <v>144</v>
      </c>
    </row>
    <row r="27" spans="1:7">
      <c r="A27" s="24" t="s">
        <v>232</v>
      </c>
      <c r="B27" s="9" t="s">
        <v>55</v>
      </c>
      <c r="C27" s="117">
        <f>C28</f>
        <v>-2119894.7399999998</v>
      </c>
      <c r="G27" s="201"/>
    </row>
    <row r="28" spans="1:7" ht="25.5">
      <c r="A28" s="24" t="s">
        <v>233</v>
      </c>
      <c r="B28" s="9" t="s">
        <v>56</v>
      </c>
      <c r="C28" s="117">
        <f>-пр.1!D11-пр.3!D11-C16</f>
        <v>-2119894.7399999998</v>
      </c>
    </row>
    <row r="29" spans="1:7">
      <c r="A29" s="24" t="s">
        <v>234</v>
      </c>
      <c r="B29" s="9" t="s">
        <v>57</v>
      </c>
      <c r="C29" s="117">
        <f>'пр.7 2024г'!G760-'пр.9 '!C17</f>
        <v>2119894.7400000002</v>
      </c>
      <c r="D29" s="4" t="s">
        <v>145</v>
      </c>
    </row>
    <row r="30" spans="1:7">
      <c r="A30" s="24" t="s">
        <v>235</v>
      </c>
      <c r="B30" s="9" t="s">
        <v>58</v>
      </c>
      <c r="C30" s="117">
        <f>C29</f>
        <v>2119894.7400000002</v>
      </c>
    </row>
    <row r="31" spans="1:7" ht="25.5">
      <c r="A31" s="192" t="s">
        <v>236</v>
      </c>
      <c r="B31" s="193" t="s">
        <v>59</v>
      </c>
      <c r="C31" s="589">
        <f>C30</f>
        <v>2119894.7400000002</v>
      </c>
    </row>
  </sheetData>
  <mergeCells count="2">
    <mergeCell ref="B7:C7"/>
    <mergeCell ref="A9:C10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17</vt:i4>
      </vt:variant>
    </vt:vector>
  </HeadingPairs>
  <TitlesOfParts>
    <vt:vector size="35" baseType="lpstr">
      <vt:lpstr>пр.1</vt:lpstr>
      <vt:lpstr>пр.2</vt:lpstr>
      <vt:lpstr>пр.3</vt:lpstr>
      <vt:lpstr>пр.4</vt:lpstr>
      <vt:lpstr>пр.5</vt:lpstr>
      <vt:lpstr>пр.6</vt:lpstr>
      <vt:lpstr>пр.7 2024г</vt:lpstr>
      <vt:lpstr>пр.8 2024-2026г</vt:lpstr>
      <vt:lpstr>пр.9 </vt:lpstr>
      <vt:lpstr>пр.10 </vt:lpstr>
      <vt:lpstr>пр.11 2024г</vt:lpstr>
      <vt:lpstr>пр.12 2025-2026г</vt:lpstr>
      <vt:lpstr>пр.14 2024г</vt:lpstr>
      <vt:lpstr>пр.15 2025-2026г</vt:lpstr>
      <vt:lpstr>пр.18 2024г</vt:lpstr>
      <vt:lpstr>пр.19  2025-2026</vt:lpstr>
      <vt:lpstr>пр.20 2023г</vt:lpstr>
      <vt:lpstr>пр.21 2024-25</vt:lpstr>
      <vt:lpstr>'пр.7 2024г'!Заголовки_для_печати</vt:lpstr>
      <vt:lpstr>пр.1!Область_печати</vt:lpstr>
      <vt:lpstr>'пр.10 '!Область_печати</vt:lpstr>
      <vt:lpstr>'пр.11 2024г'!Область_печати</vt:lpstr>
      <vt:lpstr>'пр.12 2025-2026г'!Область_печати</vt:lpstr>
      <vt:lpstr>'пр.15 2025-2026г'!Область_печати</vt:lpstr>
      <vt:lpstr>'пр.18 2024г'!Область_печати</vt:lpstr>
      <vt:lpstr>'пр.19  2025-2026'!Область_печати</vt:lpstr>
      <vt:lpstr>пр.2!Область_печати</vt:lpstr>
      <vt:lpstr>'пр.20 2023г'!Область_печати</vt:lpstr>
      <vt:lpstr>пр.3!Область_печати</vt:lpstr>
      <vt:lpstr>пр.4!Область_печати</vt:lpstr>
      <vt:lpstr>пр.5!Область_печати</vt:lpstr>
      <vt:lpstr>пр.6!Область_печати</vt:lpstr>
      <vt:lpstr>'пр.7 2024г'!Область_печати</vt:lpstr>
      <vt:lpstr>'пр.8 2024-2026г'!Область_печати</vt:lpstr>
      <vt:lpstr>'пр.9 '!Область_печати</vt:lpstr>
    </vt:vector>
  </TitlesOfParts>
  <Company>Финансовое управление по Мухоршибирскому району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Пользователь</cp:lastModifiedBy>
  <cp:lastPrinted>2023-12-26T10:23:02Z</cp:lastPrinted>
  <dcterms:created xsi:type="dcterms:W3CDTF">2007-02-01T06:35:05Z</dcterms:created>
  <dcterms:modified xsi:type="dcterms:W3CDTF">2024-01-09T04:08:50Z</dcterms:modified>
</cp:coreProperties>
</file>