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120" windowWidth="12120" windowHeight="8370" tabRatio="961" firstSheet="4" activeTab="9"/>
  </bookViews>
  <sheets>
    <sheet name="пр.1" sheetId="40" r:id="rId1"/>
    <sheet name="пр.2" sheetId="41" r:id="rId2"/>
    <sheet name="пр.3" sheetId="42" r:id="rId3"/>
    <sheet name="пр.4" sheetId="43" r:id="rId4"/>
    <sheet name="пр.5" sheetId="57" r:id="rId5"/>
    <sheet name="пр.6 " sheetId="15" r:id="rId6"/>
    <sheet name="пр.7" sheetId="58" r:id="rId7"/>
    <sheet name="пр.8 2022г" sheetId="17" r:id="rId8"/>
    <sheet name="пр.9 2023-2024г" sheetId="65" r:id="rId9"/>
    <sheet name="пр. 10 2022г" sheetId="19" r:id="rId10"/>
    <sheet name="пр.11 2023-2024г" sheetId="60" r:id="rId11"/>
    <sheet name="пр.12 2022г" sheetId="21" r:id="rId12"/>
    <sheet name="пр.13 2023-2024г" sheetId="61" r:id="rId13"/>
    <sheet name="пр.14 2022г" sheetId="76" r:id="rId14"/>
    <sheet name="пр.15 2023-2024г" sheetId="77" r:id="rId15"/>
    <sheet name="пр.17 2022г" sheetId="27" r:id="rId16"/>
    <sheet name="пр.18 2023-2024г" sheetId="63" r:id="rId17"/>
    <sheet name="пр.21 2022г" sheetId="29" r:id="rId18"/>
    <sheet name="пр.22  2023-2024" sheetId="66" r:id="rId19"/>
    <sheet name="пр23 2022г" sheetId="74" r:id="rId20"/>
    <sheet name="пр24 2023-24" sheetId="75" r:id="rId21"/>
  </sheets>
  <externalReferences>
    <externalReference r:id="rId22"/>
  </externalReferences>
  <definedNames>
    <definedName name="_GoBack" localSheetId="9">'пр. 10 2022г'!#REF!</definedName>
    <definedName name="_xlnm._FilterDatabase" localSheetId="9" hidden="1">'пр. 10 2022г'!$A$12:$H$603</definedName>
    <definedName name="_xlnm._FilterDatabase" localSheetId="10" hidden="1">'пр.11 2023-2024г'!$A$12:$R$488</definedName>
    <definedName name="_xlnm._FilterDatabase" localSheetId="5" hidden="1">'пр.6 '!$A$9:$D$117</definedName>
    <definedName name="_xlnm._FilterDatabase" localSheetId="6" hidden="1">пр.7!$A$10:$I$72</definedName>
    <definedName name="_xlnm._FilterDatabase" localSheetId="7" hidden="1">'пр.8 2022г'!$A$9:$D$55</definedName>
    <definedName name="_xlnm._FilterDatabase" localSheetId="8" hidden="1">'пр.9 2023-2024г'!$A$11:$F$58</definedName>
    <definedName name="_xlnm.Print_Titles" localSheetId="9">'пр. 10 2022г'!$12:$12</definedName>
    <definedName name="_xlnm.Print_Titles" localSheetId="0">пр.1!$8:$9</definedName>
    <definedName name="_xlnm.Print_Titles" localSheetId="2">пр.3!$11:$12</definedName>
    <definedName name="_xlnm.Print_Titles" localSheetId="5">'пр.6 '!#REF!</definedName>
    <definedName name="_xlnm.Print_Titles" localSheetId="7">'пр.8 2022г'!#REF!</definedName>
    <definedName name="_xlnm.Print_Area" localSheetId="9">'пр. 10 2022г'!$A$1:$G$597</definedName>
    <definedName name="_xlnm.Print_Area" localSheetId="10">'пр.11 2023-2024г'!$A$1:$H$486</definedName>
    <definedName name="_xlnm.Print_Area" localSheetId="11">'пр.12 2022г'!$A$1:$C$31</definedName>
    <definedName name="_xlnm.Print_Area" localSheetId="12">'пр.13 2023-2024г'!$A$1:$D$32</definedName>
    <definedName name="_xlnm.Print_Area" localSheetId="13">'пр.14 2022г'!$A$1:$G$426</definedName>
    <definedName name="_xlnm.Print_Area" localSheetId="14">'пр.15 2023-2024г'!$A$1:$H$207</definedName>
    <definedName name="_xlnm.Print_Area" localSheetId="1">пр.2!$A$1:$D$111</definedName>
    <definedName name="_xlnm.Print_Area" localSheetId="17">'пр.21 2022г'!$A$1:$C$155</definedName>
    <definedName name="_xlnm.Print_Area" localSheetId="18">'пр.22  2023-2024'!$A$1:$E$83</definedName>
    <definedName name="_xlnm.Print_Area" localSheetId="2">пр.3!$A$1:$D$22</definedName>
    <definedName name="_xlnm.Print_Area" localSheetId="3">пр.4!$A$1:$D$61</definedName>
    <definedName name="_xlnm.Print_Area" localSheetId="4">пр.5!$A$1:$H$60</definedName>
    <definedName name="_xlnm.Print_Area" localSheetId="5">'пр.6 '!$A$1:$D$117</definedName>
    <definedName name="_xlnm.Print_Area" localSheetId="6">пр.7!$A$1:$E$74</definedName>
    <definedName name="_xlnm.Print_Area" localSheetId="7">'пр.8 2022г'!$A$1:$D$55</definedName>
    <definedName name="_xlnm.Print_Area" localSheetId="8">'пр.9 2023-2024г'!$A$1:$F$56</definedName>
    <definedName name="_xlnm.Print_Area" localSheetId="19">'пр23 2022г'!$A$1:$I$31</definedName>
  </definedNames>
  <calcPr calcId="124519"/>
  <fileRecoveryPr autoRecover="0"/>
</workbook>
</file>

<file path=xl/calcChain.xml><?xml version="1.0" encoding="utf-8"?>
<calcChain xmlns="http://schemas.openxmlformats.org/spreadsheetml/2006/main">
  <c r="F53" i="57"/>
  <c r="E52"/>
  <c r="D52"/>
  <c r="F45"/>
  <c r="H198" i="77" l="1"/>
  <c r="G200"/>
  <c r="G199" s="1"/>
  <c r="G198" s="1"/>
  <c r="C155" i="29"/>
  <c r="C148"/>
  <c r="G324" i="19"/>
  <c r="G325"/>
  <c r="G327"/>
  <c r="G200" i="76"/>
  <c r="G199" s="1"/>
  <c r="G202"/>
  <c r="G201" s="1"/>
  <c r="C141" i="29" l="1"/>
  <c r="H390" i="60" l="1"/>
  <c r="D38" i="65" l="1"/>
  <c r="G390" i="60"/>
  <c r="H416"/>
  <c r="G416"/>
  <c r="H415"/>
  <c r="G415"/>
  <c r="G411" s="1"/>
  <c r="H414"/>
  <c r="H412"/>
  <c r="H348"/>
  <c r="G348"/>
  <c r="H338"/>
  <c r="H337"/>
  <c r="G338"/>
  <c r="G337"/>
  <c r="H417"/>
  <c r="H438"/>
  <c r="G426"/>
  <c r="H365"/>
  <c r="G365"/>
  <c r="H357"/>
  <c r="G357"/>
  <c r="H183"/>
  <c r="H460"/>
  <c r="G374"/>
  <c r="G373" s="1"/>
  <c r="H344"/>
  <c r="H343"/>
  <c r="G342"/>
  <c r="H231"/>
  <c r="H342" l="1"/>
  <c r="H411"/>
  <c r="H374"/>
  <c r="H373" s="1"/>
  <c r="G351" i="76" l="1"/>
  <c r="G277"/>
  <c r="G273"/>
  <c r="G198"/>
  <c r="G377" i="19"/>
  <c r="G461"/>
  <c r="G83" i="76" l="1"/>
  <c r="G425"/>
  <c r="G428"/>
  <c r="G506" i="19"/>
  <c r="G503"/>
  <c r="G442"/>
  <c r="G345"/>
  <c r="G344"/>
  <c r="G291"/>
  <c r="G229"/>
  <c r="G208"/>
  <c r="G132"/>
  <c r="G453" i="76" l="1"/>
  <c r="G452" s="1"/>
  <c r="H284"/>
  <c r="H277"/>
  <c r="G574"/>
  <c r="G225" i="19" l="1"/>
  <c r="G223"/>
  <c r="G21"/>
  <c r="G18" s="1"/>
  <c r="C83" i="66"/>
  <c r="G540" i="19"/>
  <c r="E37" i="17" l="1"/>
  <c r="G379" i="19" l="1"/>
  <c r="G381"/>
  <c r="G508" l="1"/>
  <c r="G583"/>
  <c r="G584"/>
  <c r="G582" l="1"/>
  <c r="G189" i="77"/>
  <c r="G188" s="1"/>
  <c r="G191"/>
  <c r="G190" s="1"/>
  <c r="H187"/>
  <c r="H186" s="1"/>
  <c r="H185"/>
  <c r="H184" s="1"/>
  <c r="G187"/>
  <c r="G186" s="1"/>
  <c r="G185"/>
  <c r="G184" s="1"/>
  <c r="H183"/>
  <c r="G183"/>
  <c r="H178"/>
  <c r="H179"/>
  <c r="H180"/>
  <c r="H176"/>
  <c r="H175" s="1"/>
  <c r="H174"/>
  <c r="H173" s="1"/>
  <c r="H172"/>
  <c r="H171"/>
  <c r="G172"/>
  <c r="H466" i="60"/>
  <c r="G466"/>
  <c r="G180" i="77"/>
  <c r="G179"/>
  <c r="G178"/>
  <c r="G176"/>
  <c r="G175" s="1"/>
  <c r="G174"/>
  <c r="G173" s="1"/>
  <c r="H453" i="60"/>
  <c r="G453"/>
  <c r="H446"/>
  <c r="G446"/>
  <c r="H444"/>
  <c r="G444"/>
  <c r="H442" l="1"/>
  <c r="G442"/>
  <c r="H182" i="77"/>
  <c r="H181" s="1"/>
  <c r="G182"/>
  <c r="G181" s="1"/>
  <c r="H177"/>
  <c r="H170" s="1"/>
  <c r="H169" s="1"/>
  <c r="G177"/>
  <c r="H26" l="1"/>
  <c r="H25" s="1"/>
  <c r="H24" s="1"/>
  <c r="G26"/>
  <c r="G25" s="1"/>
  <c r="G24" s="1"/>
  <c r="H165" i="60"/>
  <c r="H164" s="1"/>
  <c r="G165"/>
  <c r="G164" s="1"/>
  <c r="G547" i="19"/>
  <c r="G576"/>
  <c r="G151" i="77" l="1"/>
  <c r="G150"/>
  <c r="G148"/>
  <c r="G147" s="1"/>
  <c r="G146"/>
  <c r="G145"/>
  <c r="G143"/>
  <c r="G142" s="1"/>
  <c r="G159"/>
  <c r="G160"/>
  <c r="G162"/>
  <c r="G163"/>
  <c r="G58"/>
  <c r="G178" i="60"/>
  <c r="G29" i="76"/>
  <c r="G28" s="1"/>
  <c r="H367" i="60"/>
  <c r="H369"/>
  <c r="H248"/>
  <c r="H246" s="1"/>
  <c r="H245" s="1"/>
  <c r="G246"/>
  <c r="G245" s="1"/>
  <c r="H92"/>
  <c r="H91" s="1"/>
  <c r="H90" s="1"/>
  <c r="H89" s="1"/>
  <c r="H88" s="1"/>
  <c r="H261"/>
  <c r="G149" i="77" l="1"/>
  <c r="G144"/>
  <c r="G161"/>
  <c r="G158"/>
  <c r="H371" i="60"/>
  <c r="H359"/>
  <c r="G216" i="19"/>
  <c r="G215"/>
  <c r="G27" i="76" s="1"/>
  <c r="G26" s="1"/>
  <c r="G141" i="77" l="1"/>
  <c r="H215" i="19"/>
  <c r="H214" s="1"/>
  <c r="G214"/>
  <c r="G317"/>
  <c r="G103" l="1"/>
  <c r="G102" s="1"/>
  <c r="D16" i="17" s="1"/>
  <c r="G18" i="77" l="1"/>
  <c r="G20"/>
  <c r="H137"/>
  <c r="H136" s="1"/>
  <c r="H135" s="1"/>
  <c r="H134"/>
  <c r="H133"/>
  <c r="G134"/>
  <c r="G133"/>
  <c r="H131"/>
  <c r="H130"/>
  <c r="G131"/>
  <c r="G130"/>
  <c r="H128"/>
  <c r="H127"/>
  <c r="G128"/>
  <c r="G127"/>
  <c r="H125"/>
  <c r="H124" s="1"/>
  <c r="G125"/>
  <c r="G124" s="1"/>
  <c r="H123"/>
  <c r="H122"/>
  <c r="G123"/>
  <c r="G122"/>
  <c r="H120"/>
  <c r="H119"/>
  <c r="H118"/>
  <c r="G120"/>
  <c r="G119"/>
  <c r="G118"/>
  <c r="G115"/>
  <c r="G114"/>
  <c r="G112"/>
  <c r="G110"/>
  <c r="G107"/>
  <c r="G106"/>
  <c r="G105"/>
  <c r="G103"/>
  <c r="G102"/>
  <c r="G100"/>
  <c r="G99"/>
  <c r="G98"/>
  <c r="G96"/>
  <c r="G95"/>
  <c r="G94"/>
  <c r="G93"/>
  <c r="G91"/>
  <c r="G90"/>
  <c r="G89"/>
  <c r="H87"/>
  <c r="H86" s="1"/>
  <c r="G87"/>
  <c r="G86" s="1"/>
  <c r="H84"/>
  <c r="H83"/>
  <c r="H82"/>
  <c r="G84"/>
  <c r="G83"/>
  <c r="G82"/>
  <c r="H80"/>
  <c r="H79" s="1"/>
  <c r="H78"/>
  <c r="H77" s="1"/>
  <c r="G80"/>
  <c r="G79" s="1"/>
  <c r="G78"/>
  <c r="G77" s="1"/>
  <c r="H76"/>
  <c r="H75"/>
  <c r="H73"/>
  <c r="H72"/>
  <c r="G73"/>
  <c r="G72"/>
  <c r="G76"/>
  <c r="G75"/>
  <c r="H69"/>
  <c r="H68"/>
  <c r="H67"/>
  <c r="G69"/>
  <c r="G68"/>
  <c r="G67"/>
  <c r="H65"/>
  <c r="H64"/>
  <c r="H63"/>
  <c r="G65"/>
  <c r="G64"/>
  <c r="G63"/>
  <c r="A97"/>
  <c r="G56"/>
  <c r="H225" i="60"/>
  <c r="H227"/>
  <c r="G101" i="77" l="1"/>
  <c r="G97"/>
  <c r="G113"/>
  <c r="G129"/>
  <c r="G132"/>
  <c r="H81"/>
  <c r="H117"/>
  <c r="G74"/>
  <c r="H71"/>
  <c r="G117"/>
  <c r="G104"/>
  <c r="G121"/>
  <c r="H126"/>
  <c r="H132"/>
  <c r="G81"/>
  <c r="G62"/>
  <c r="G88"/>
  <c r="G71"/>
  <c r="H74"/>
  <c r="G92"/>
  <c r="H121"/>
  <c r="G126"/>
  <c r="H129"/>
  <c r="H62"/>
  <c r="H45" i="60"/>
  <c r="H36"/>
  <c r="G218"/>
  <c r="H475"/>
  <c r="G116" i="77" l="1"/>
  <c r="H116"/>
  <c r="H465" i="60"/>
  <c r="H464" s="1"/>
  <c r="G465"/>
  <c r="G464" s="1"/>
  <c r="H459"/>
  <c r="H458" s="1"/>
  <c r="H457" s="1"/>
  <c r="G460"/>
  <c r="G459" s="1"/>
  <c r="G458" s="1"/>
  <c r="G457" s="1"/>
  <c r="G575" i="19"/>
  <c r="G410" i="60"/>
  <c r="G407"/>
  <c r="G336"/>
  <c r="H327"/>
  <c r="H303"/>
  <c r="G303"/>
  <c r="H300"/>
  <c r="G300"/>
  <c r="H278"/>
  <c r="H115" i="77" s="1"/>
  <c r="H277" i="60"/>
  <c r="H114" i="77" s="1"/>
  <c r="G276" i="60"/>
  <c r="H275"/>
  <c r="H112" i="77" s="1"/>
  <c r="G274" i="60"/>
  <c r="H273"/>
  <c r="H110" i="77" s="1"/>
  <c r="G272" i="60"/>
  <c r="G109" i="77" s="1"/>
  <c r="H270" i="60"/>
  <c r="H107" i="77" s="1"/>
  <c r="H269" i="60"/>
  <c r="H106" i="77" s="1"/>
  <c r="H268" i="60"/>
  <c r="H105" i="77" s="1"/>
  <c r="G267" i="60"/>
  <c r="G255"/>
  <c r="G253"/>
  <c r="H172"/>
  <c r="H103" i="77" s="1"/>
  <c r="H171" i="60"/>
  <c r="H102" i="77" s="1"/>
  <c r="G170" i="60"/>
  <c r="G169" s="1"/>
  <c r="G168" s="1"/>
  <c r="G167" s="1"/>
  <c r="H181"/>
  <c r="H180" s="1"/>
  <c r="G117" i="76"/>
  <c r="G118"/>
  <c r="H161" i="60"/>
  <c r="G161"/>
  <c r="G157"/>
  <c r="G140"/>
  <c r="G138"/>
  <c r="G135"/>
  <c r="G133"/>
  <c r="H121"/>
  <c r="H100" i="77" s="1"/>
  <c r="H120" i="60"/>
  <c r="H99" i="77" s="1"/>
  <c r="H119" i="60"/>
  <c r="H98" i="77" s="1"/>
  <c r="G118" i="60"/>
  <c r="H117"/>
  <c r="H96" i="77" s="1"/>
  <c r="H116" i="60"/>
  <c r="H95" i="77" s="1"/>
  <c r="H115" i="60"/>
  <c r="H94" i="77" s="1"/>
  <c r="H114" i="60"/>
  <c r="H93" i="77" s="1"/>
  <c r="G113" i="60"/>
  <c r="H112"/>
  <c r="H91" i="77" s="1"/>
  <c r="H111" i="60"/>
  <c r="H90" i="77" s="1"/>
  <c r="H110" i="60"/>
  <c r="H89" i="77" s="1"/>
  <c r="G109" i="60"/>
  <c r="H106"/>
  <c r="H105" s="1"/>
  <c r="G92"/>
  <c r="G91" s="1"/>
  <c r="G90" s="1"/>
  <c r="G89" s="1"/>
  <c r="G88" s="1"/>
  <c r="D15" i="65" s="1"/>
  <c r="H72" i="60"/>
  <c r="H85"/>
  <c r="H84" s="1"/>
  <c r="G86"/>
  <c r="G83"/>
  <c r="G75"/>
  <c r="G74" s="1"/>
  <c r="G73" s="1"/>
  <c r="G72" s="1"/>
  <c r="H67"/>
  <c r="H66" s="1"/>
  <c r="H65" s="1"/>
  <c r="H64" s="1"/>
  <c r="G67"/>
  <c r="G66" s="1"/>
  <c r="G65" s="1"/>
  <c r="G64" s="1"/>
  <c r="H51"/>
  <c r="G51"/>
  <c r="H48"/>
  <c r="H44" s="1"/>
  <c r="H43" s="1"/>
  <c r="H42" s="1"/>
  <c r="G48"/>
  <c r="G45"/>
  <c r="G36"/>
  <c r="H33"/>
  <c r="G33"/>
  <c r="H30"/>
  <c r="G30"/>
  <c r="H25"/>
  <c r="G25"/>
  <c r="H22"/>
  <c r="G22"/>
  <c r="H18"/>
  <c r="G18"/>
  <c r="G24" i="76"/>
  <c r="G25"/>
  <c r="G14"/>
  <c r="G331" i="19"/>
  <c r="H285" i="60" l="1"/>
  <c r="G85"/>
  <c r="G84" s="1"/>
  <c r="G171" i="77"/>
  <c r="H456" i="60"/>
  <c r="F26" i="65" s="1"/>
  <c r="G23" i="76"/>
  <c r="G22" s="1"/>
  <c r="H101" i="77"/>
  <c r="H274" i="60"/>
  <c r="H111" i="77" s="1"/>
  <c r="G111"/>
  <c r="G108" s="1"/>
  <c r="G85" s="1"/>
  <c r="G70"/>
  <c r="G66" s="1"/>
  <c r="G61" s="1"/>
  <c r="G79" i="60"/>
  <c r="G78" s="1"/>
  <c r="G77" s="1"/>
  <c r="G76" s="1"/>
  <c r="G71" s="1"/>
  <c r="D14" i="65" s="1"/>
  <c r="H88" i="77"/>
  <c r="H92"/>
  <c r="H104"/>
  <c r="H113"/>
  <c r="G106" i="60"/>
  <c r="G105" s="1"/>
  <c r="G137" i="77"/>
  <c r="G136" s="1"/>
  <c r="G135" s="1"/>
  <c r="H97"/>
  <c r="H259" i="60"/>
  <c r="H258" s="1"/>
  <c r="G17"/>
  <c r="G16" s="1"/>
  <c r="H17"/>
  <c r="H16" s="1"/>
  <c r="G252"/>
  <c r="G251" s="1"/>
  <c r="G250" s="1"/>
  <c r="G249" s="1"/>
  <c r="D40" i="65" s="1"/>
  <c r="G271" i="60"/>
  <c r="G266" s="1"/>
  <c r="G265" s="1"/>
  <c r="G264" s="1"/>
  <c r="G263" s="1"/>
  <c r="H276"/>
  <c r="H267"/>
  <c r="H272"/>
  <c r="H170"/>
  <c r="G116" i="76"/>
  <c r="G108" i="60"/>
  <c r="H29"/>
  <c r="H28" s="1"/>
  <c r="H113"/>
  <c r="G132"/>
  <c r="G131" s="1"/>
  <c r="H41"/>
  <c r="H109"/>
  <c r="H118"/>
  <c r="G44"/>
  <c r="G43" s="1"/>
  <c r="G42" s="1"/>
  <c r="G41" s="1"/>
  <c r="G29"/>
  <c r="G28" s="1"/>
  <c r="H250" l="1"/>
  <c r="H257"/>
  <c r="H249" s="1"/>
  <c r="F40" i="65" s="1"/>
  <c r="G170" i="77"/>
  <c r="G169" s="1"/>
  <c r="G60"/>
  <c r="G59" s="1"/>
  <c r="H271" i="60"/>
  <c r="H266" s="1"/>
  <c r="H265" s="1"/>
  <c r="H264" s="1"/>
  <c r="H263" s="1"/>
  <c r="H109" i="77"/>
  <c r="H108" s="1"/>
  <c r="H85" s="1"/>
  <c r="H70"/>
  <c r="H66" s="1"/>
  <c r="H61" s="1"/>
  <c r="H79" i="60"/>
  <c r="H78" s="1"/>
  <c r="H77" s="1"/>
  <c r="H76" s="1"/>
  <c r="H71" s="1"/>
  <c r="F14" i="65" s="1"/>
  <c r="H169" i="60"/>
  <c r="H168" s="1"/>
  <c r="H167" s="1"/>
  <c r="H108"/>
  <c r="H60" i="77" l="1"/>
  <c r="H59" s="1"/>
  <c r="G277" i="19"/>
  <c r="G274" s="1"/>
  <c r="H212" l="1"/>
  <c r="H211" s="1"/>
  <c r="G212"/>
  <c r="G211" s="1"/>
  <c r="G83"/>
  <c r="G92"/>
  <c r="G87" s="1"/>
  <c r="G86" s="1"/>
  <c r="G85" s="1"/>
  <c r="G84" s="1"/>
  <c r="G410" i="76" l="1"/>
  <c r="G409" s="1"/>
  <c r="G412"/>
  <c r="G411" s="1"/>
  <c r="G534" i="19" l="1"/>
  <c r="G490" l="1"/>
  <c r="G266" l="1"/>
  <c r="G264"/>
  <c r="G507" l="1"/>
  <c r="G502" s="1"/>
  <c r="G390" l="1"/>
  <c r="G478"/>
  <c r="G477" s="1"/>
  <c r="G481"/>
  <c r="G480" s="1"/>
  <c r="G125" i="60" l="1"/>
  <c r="G124" s="1"/>
  <c r="H125"/>
  <c r="H124" s="1"/>
  <c r="G127"/>
  <c r="H127"/>
  <c r="G145"/>
  <c r="H145"/>
  <c r="G147"/>
  <c r="H147"/>
  <c r="G150"/>
  <c r="H150"/>
  <c r="G152"/>
  <c r="H152"/>
  <c r="G155"/>
  <c r="H155"/>
  <c r="G160"/>
  <c r="H160"/>
  <c r="J167"/>
  <c r="H175"/>
  <c r="H174" s="1"/>
  <c r="H173" s="1"/>
  <c r="H163" s="1"/>
  <c r="G176"/>
  <c r="G175" s="1"/>
  <c r="G174" s="1"/>
  <c r="H63"/>
  <c r="F12" i="65" s="1"/>
  <c r="G63" i="60"/>
  <c r="D12" i="65" s="1"/>
  <c r="G225" i="76"/>
  <c r="G236"/>
  <c r="G235" s="1"/>
  <c r="G238"/>
  <c r="G237" s="1"/>
  <c r="G228"/>
  <c r="G226" s="1"/>
  <c r="G230"/>
  <c r="G229" s="1"/>
  <c r="G173" i="60" l="1"/>
  <c r="G163"/>
  <c r="H123"/>
  <c r="H122" s="1"/>
  <c r="G144"/>
  <c r="G143" s="1"/>
  <c r="G130" s="1"/>
  <c r="D22" i="65" s="1"/>
  <c r="G123" i="60"/>
  <c r="I167"/>
  <c r="H157"/>
  <c r="H144" s="1"/>
  <c r="H27"/>
  <c r="H15"/>
  <c r="F13" i="65" s="1"/>
  <c r="G15" i="60"/>
  <c r="D13" i="65" s="1"/>
  <c r="G27" i="60"/>
  <c r="G222" i="76"/>
  <c r="G122" i="60" l="1"/>
  <c r="D20" i="65"/>
  <c r="G14" i="60"/>
  <c r="H14"/>
  <c r="H143"/>
  <c r="H130" s="1"/>
  <c r="G129"/>
  <c r="H129" l="1"/>
  <c r="F22" i="65"/>
  <c r="G221" i="76"/>
  <c r="G220"/>
  <c r="G219"/>
  <c r="G192" i="19"/>
  <c r="G191" l="1"/>
  <c r="G190" s="1"/>
  <c r="G218" i="76"/>
  <c r="G95" i="19"/>
  <c r="G208" i="76" l="1"/>
  <c r="G94" i="19"/>
  <c r="G93" s="1"/>
  <c r="G87" i="76"/>
  <c r="G88"/>
  <c r="G90"/>
  <c r="G91"/>
  <c r="G45" i="19"/>
  <c r="G48"/>
  <c r="G205" i="76"/>
  <c r="G204" s="1"/>
  <c r="G203" s="1"/>
  <c r="G190"/>
  <c r="G189" s="1"/>
  <c r="G192"/>
  <c r="G193"/>
  <c r="G187"/>
  <c r="G173"/>
  <c r="G174"/>
  <c r="G176"/>
  <c r="G177"/>
  <c r="G166"/>
  <c r="G165"/>
  <c r="G163"/>
  <c r="G162" s="1"/>
  <c r="G161"/>
  <c r="G160"/>
  <c r="G158"/>
  <c r="G157" s="1"/>
  <c r="G130"/>
  <c r="G129"/>
  <c r="G127"/>
  <c r="G126"/>
  <c r="G125"/>
  <c r="G124"/>
  <c r="G122"/>
  <c r="G121"/>
  <c r="G120"/>
  <c r="G133"/>
  <c r="G134"/>
  <c r="G135"/>
  <c r="G149"/>
  <c r="G148"/>
  <c r="G146"/>
  <c r="G145"/>
  <c r="G143"/>
  <c r="G142"/>
  <c r="G140"/>
  <c r="G139" s="1"/>
  <c r="G138"/>
  <c r="G137"/>
  <c r="G25" i="19"/>
  <c r="G99" i="76"/>
  <c r="G98"/>
  <c r="G97"/>
  <c r="G115"/>
  <c r="G114"/>
  <c r="G113"/>
  <c r="A112"/>
  <c r="G111"/>
  <c r="G110"/>
  <c r="G109"/>
  <c r="G108"/>
  <c r="G96" l="1"/>
  <c r="G44" i="19"/>
  <c r="G43" s="1"/>
  <c r="G42" s="1"/>
  <c r="G89" i="76"/>
  <c r="G86"/>
  <c r="G191"/>
  <c r="G172"/>
  <c r="G175"/>
  <c r="G159"/>
  <c r="G164"/>
  <c r="G119"/>
  <c r="G123"/>
  <c r="G128"/>
  <c r="G136"/>
  <c r="G141"/>
  <c r="G147"/>
  <c r="G132"/>
  <c r="G144"/>
  <c r="G107"/>
  <c r="G112"/>
  <c r="G106"/>
  <c r="G105"/>
  <c r="G104"/>
  <c r="G102"/>
  <c r="G101" s="1"/>
  <c r="G85"/>
  <c r="G82"/>
  <c r="G81"/>
  <c r="G79"/>
  <c r="G78"/>
  <c r="G77"/>
  <c r="H80" i="19"/>
  <c r="H79" s="1"/>
  <c r="H539"/>
  <c r="G539"/>
  <c r="H582"/>
  <c r="H581" s="1"/>
  <c r="H580" s="1"/>
  <c r="G581"/>
  <c r="G580" s="1"/>
  <c r="G574"/>
  <c r="G573" s="1"/>
  <c r="H300"/>
  <c r="G300"/>
  <c r="H290"/>
  <c r="G290"/>
  <c r="G156" i="76" l="1"/>
  <c r="G131"/>
  <c r="G76"/>
  <c r="G103"/>
  <c r="G100" s="1"/>
  <c r="H75" i="19" l="1"/>
  <c r="H74" s="1"/>
  <c r="H73" s="1"/>
  <c r="H72" s="1"/>
  <c r="H71" s="1"/>
  <c r="G75"/>
  <c r="G74" s="1"/>
  <c r="G73" s="1"/>
  <c r="G72" s="1"/>
  <c r="G71" s="1"/>
  <c r="D11" i="17" s="1"/>
  <c r="G420" i="60"/>
  <c r="G423"/>
  <c r="G339"/>
  <c r="G335" s="1"/>
  <c r="H59" l="1"/>
  <c r="H58" s="1"/>
  <c r="G59"/>
  <c r="G58" s="1"/>
  <c r="G371"/>
  <c r="H306"/>
  <c r="G306"/>
  <c r="G299" s="1"/>
  <c r="H229"/>
  <c r="H224" s="1"/>
  <c r="G229"/>
  <c r="G224" s="1"/>
  <c r="H201"/>
  <c r="H203"/>
  <c r="H205"/>
  <c r="G205"/>
  <c r="G204" s="1"/>
  <c r="G203" s="1"/>
  <c r="G202" s="1"/>
  <c r="G201" s="1"/>
  <c r="G200" s="1"/>
  <c r="G436"/>
  <c r="H436"/>
  <c r="H435" s="1"/>
  <c r="H434" s="1"/>
  <c r="F23" i="65" s="1"/>
  <c r="G543" i="19"/>
  <c r="H544"/>
  <c r="H543" s="1"/>
  <c r="G589"/>
  <c r="G588" s="1"/>
  <c r="G587" s="1"/>
  <c r="G572" s="1"/>
  <c r="H590"/>
  <c r="H589" s="1"/>
  <c r="H588" s="1"/>
  <c r="H587" s="1"/>
  <c r="H299" i="60" l="1"/>
  <c r="H292"/>
  <c r="F45" i="65" s="1"/>
  <c r="H200" i="60"/>
  <c r="E71" i="58" l="1"/>
  <c r="D71"/>
  <c r="G137" i="19"/>
  <c r="G203" i="77" l="1"/>
  <c r="C18" i="61"/>
  <c r="G531" i="19"/>
  <c r="H231"/>
  <c r="G231"/>
  <c r="Y93" i="58"/>
  <c r="Y90"/>
  <c r="Y86"/>
  <c r="Y80"/>
  <c r="Y81" s="1"/>
  <c r="Q93"/>
  <c r="Q90"/>
  <c r="Q86"/>
  <c r="Q80"/>
  <c r="Q81" s="1"/>
  <c r="J125" i="15"/>
  <c r="J126"/>
  <c r="J127"/>
  <c r="J128"/>
  <c r="J130"/>
  <c r="J131"/>
  <c r="J132"/>
  <c r="J134"/>
  <c r="J135"/>
  <c r="J137"/>
  <c r="J138"/>
  <c r="J122"/>
  <c r="I136"/>
  <c r="J136" s="1"/>
  <c r="I133"/>
  <c r="J133" s="1"/>
  <c r="I129"/>
  <c r="J129" s="1"/>
  <c r="I123"/>
  <c r="I124" s="1"/>
  <c r="J124" s="1"/>
  <c r="J123" l="1"/>
  <c r="D97"/>
  <c r="D105" l="1"/>
  <c r="H478" i="60" l="1"/>
  <c r="H474" s="1"/>
  <c r="G234" i="19"/>
  <c r="G357" i="76" l="1"/>
  <c r="G350"/>
  <c r="H403"/>
  <c r="G452" i="19"/>
  <c r="G431"/>
  <c r="G430" s="1"/>
  <c r="G451" l="1"/>
  <c r="C16" i="21" l="1"/>
  <c r="G446" i="19" l="1"/>
  <c r="G471" l="1"/>
  <c r="H366" l="1"/>
  <c r="G365"/>
  <c r="H365" l="1"/>
  <c r="H364" s="1"/>
  <c r="H363" s="1"/>
  <c r="H169" l="1"/>
  <c r="G169"/>
  <c r="G185" l="1"/>
  <c r="G184" s="1"/>
  <c r="G183" s="1"/>
  <c r="G182" s="1"/>
  <c r="H206" i="77" l="1"/>
  <c r="H205" s="1"/>
  <c r="H204" s="1"/>
  <c r="G206"/>
  <c r="G205" s="1"/>
  <c r="G204" s="1"/>
  <c r="H379" i="60"/>
  <c r="H378" s="1"/>
  <c r="G379"/>
  <c r="G378" s="1"/>
  <c r="G265" i="76" l="1"/>
  <c r="G264" s="1"/>
  <c r="G356" i="19" l="1"/>
  <c r="G136"/>
  <c r="G421" i="76"/>
  <c r="G422"/>
  <c r="G424"/>
  <c r="G455" i="19"/>
  <c r="G423" i="76"/>
  <c r="G370" i="19"/>
  <c r="G369" s="1"/>
  <c r="G361" i="76"/>
  <c r="G367" i="19"/>
  <c r="D43" i="43"/>
  <c r="D34"/>
  <c r="D13"/>
  <c r="G454" i="19" l="1"/>
  <c r="G364"/>
  <c r="G428"/>
  <c r="G427" s="1"/>
  <c r="H92"/>
  <c r="G84" i="76"/>
  <c r="G80" s="1"/>
  <c r="H152" i="19"/>
  <c r="H153"/>
  <c r="G151"/>
  <c r="G149"/>
  <c r="H150"/>
  <c r="H149" s="1"/>
  <c r="G189"/>
  <c r="D27" i="17" s="1"/>
  <c r="G263" i="76"/>
  <c r="G262" s="1"/>
  <c r="H355" i="19"/>
  <c r="G354"/>
  <c r="G363" l="1"/>
  <c r="H151"/>
  <c r="G188"/>
  <c r="H354"/>
  <c r="G374" i="76" l="1"/>
  <c r="H502" i="19"/>
  <c r="D60" i="43"/>
  <c r="H159" i="19" l="1"/>
  <c r="G253"/>
  <c r="H252"/>
  <c r="G21" i="76" l="1"/>
  <c r="G19"/>
  <c r="H251" i="19"/>
  <c r="G251"/>
  <c r="H250" l="1"/>
  <c r="G250"/>
  <c r="H249" l="1"/>
  <c r="G249"/>
  <c r="G307" i="76"/>
  <c r="G306" s="1"/>
  <c r="H411" i="19"/>
  <c r="H410" s="1"/>
  <c r="G410"/>
  <c r="G248" l="1"/>
  <c r="G247" s="1"/>
  <c r="D42" i="17" s="1"/>
  <c r="H248" i="19"/>
  <c r="H247" s="1"/>
  <c r="G215" i="76"/>
  <c r="G214" s="1"/>
  <c r="G217"/>
  <c r="G216" s="1"/>
  <c r="G562" i="19"/>
  <c r="G560"/>
  <c r="H561"/>
  <c r="H560" s="1"/>
  <c r="G450"/>
  <c r="F42" i="17" l="1"/>
  <c r="E42"/>
  <c r="G299" i="76" l="1"/>
  <c r="G298" s="1"/>
  <c r="G402" i="19"/>
  <c r="G169" i="76"/>
  <c r="G379" l="1"/>
  <c r="G343" i="19" l="1"/>
  <c r="H202" i="77"/>
  <c r="H201" s="1"/>
  <c r="G202"/>
  <c r="G201" s="1"/>
  <c r="H226" i="76"/>
  <c r="H486" i="19" l="1"/>
  <c r="H485" l="1"/>
  <c r="G486"/>
  <c r="G485" l="1"/>
  <c r="H484"/>
  <c r="G355" i="76"/>
  <c r="G354" s="1"/>
  <c r="G418" i="19"/>
  <c r="G425"/>
  <c r="G52" i="76"/>
  <c r="G50" l="1"/>
  <c r="G51"/>
  <c r="G484" i="19"/>
  <c r="G424"/>
  <c r="H376" i="60"/>
  <c r="H375" s="1"/>
  <c r="G376"/>
  <c r="G375" s="1"/>
  <c r="G478" l="1"/>
  <c r="G477" s="1"/>
  <c r="G476" s="1"/>
  <c r="G475" s="1"/>
  <c r="G474" l="1"/>
  <c r="G595" i="19" l="1"/>
  <c r="G594" s="1"/>
  <c r="G593" s="1"/>
  <c r="H596"/>
  <c r="G592" l="1"/>
  <c r="H595"/>
  <c r="H594" s="1"/>
  <c r="H593" s="1"/>
  <c r="G334" i="76"/>
  <c r="G336"/>
  <c r="H338"/>
  <c r="G340"/>
  <c r="H470" i="19"/>
  <c r="H464"/>
  <c r="G591" l="1"/>
  <c r="G465"/>
  <c r="G462"/>
  <c r="G468"/>
  <c r="H592"/>
  <c r="G418" i="76"/>
  <c r="G417" s="1"/>
  <c r="G416" s="1"/>
  <c r="H591" i="19" l="1"/>
  <c r="H58" i="76"/>
  <c r="G62"/>
  <c r="G61" s="1"/>
  <c r="H309" i="19"/>
  <c r="G308"/>
  <c r="G196" i="76"/>
  <c r="G321" i="19"/>
  <c r="H322"/>
  <c r="G184" i="76"/>
  <c r="G183" s="1"/>
  <c r="H270" i="19"/>
  <c r="H269"/>
  <c r="G268"/>
  <c r="H321" l="1"/>
  <c r="H308"/>
  <c r="H268"/>
  <c r="G195" i="76"/>
  <c r="H305" i="19" l="1"/>
  <c r="G299"/>
  <c r="H168"/>
  <c r="D23" i="43" l="1"/>
  <c r="C111" i="29" l="1"/>
  <c r="C124"/>
  <c r="G406" i="76" l="1"/>
  <c r="G333" i="19" l="1"/>
  <c r="G247" i="76" l="1"/>
  <c r="C98" i="29" l="1"/>
  <c r="G407" i="76"/>
  <c r="G408"/>
  <c r="C78" i="29" l="1"/>
  <c r="H186" i="76" l="1"/>
  <c r="H185" s="1"/>
  <c r="G297" l="1"/>
  <c r="G301"/>
  <c r="G303"/>
  <c r="G302" s="1"/>
  <c r="G406" i="19"/>
  <c r="G72" i="76"/>
  <c r="G71" s="1"/>
  <c r="G70"/>
  <c r="G69" s="1"/>
  <c r="G180" i="19"/>
  <c r="H155" i="77"/>
  <c r="H154" s="1"/>
  <c r="G155"/>
  <c r="G154" s="1"/>
  <c r="H243" i="60"/>
  <c r="H242" s="1"/>
  <c r="G243"/>
  <c r="G242" s="1"/>
  <c r="G369"/>
  <c r="G178" i="19"/>
  <c r="H179"/>
  <c r="G404"/>
  <c r="H405"/>
  <c r="H158" l="1"/>
  <c r="H178"/>
  <c r="H404"/>
  <c r="G296" i="76"/>
  <c r="G300"/>
  <c r="G45"/>
  <c r="G400" i="19"/>
  <c r="H401"/>
  <c r="H297" i="76" s="1"/>
  <c r="G242" i="19"/>
  <c r="H243"/>
  <c r="G444"/>
  <c r="D16" i="15"/>
  <c r="G267" i="76"/>
  <c r="G325"/>
  <c r="H535" i="19"/>
  <c r="G321" i="76"/>
  <c r="G320" s="1"/>
  <c r="G241" i="19" l="1"/>
  <c r="H534"/>
  <c r="G533"/>
  <c r="H242"/>
  <c r="H400"/>
  <c r="G266" i="76"/>
  <c r="H241" i="19" l="1"/>
  <c r="H533"/>
  <c r="G281" i="76"/>
  <c r="G280" s="1"/>
  <c r="G279"/>
  <c r="H257"/>
  <c r="G259"/>
  <c r="G258"/>
  <c r="H353"/>
  <c r="G363"/>
  <c r="G362" s="1"/>
  <c r="G358"/>
  <c r="G356" s="1"/>
  <c r="G360"/>
  <c r="G359" s="1"/>
  <c r="G349"/>
  <c r="G348"/>
  <c r="G347"/>
  <c r="G56" i="19"/>
  <c r="G360"/>
  <c r="G346" i="76" l="1"/>
  <c r="G345" s="1"/>
  <c r="G353"/>
  <c r="G352" s="1"/>
  <c r="D51" i="17"/>
  <c r="D50" s="1"/>
  <c r="G55" i="19"/>
  <c r="G278" i="76"/>
  <c r="G257"/>
  <c r="G526" i="19" l="1"/>
  <c r="G447"/>
  <c r="H448"/>
  <c r="G349"/>
  <c r="H351"/>
  <c r="H350"/>
  <c r="G422"/>
  <c r="G420"/>
  <c r="H421"/>
  <c r="G414"/>
  <c r="G413"/>
  <c r="G412" l="1"/>
  <c r="H447"/>
  <c r="G525"/>
  <c r="H420"/>
  <c r="G417"/>
  <c r="H349"/>
  <c r="G524" l="1"/>
  <c r="G416"/>
  <c r="H417"/>
  <c r="H416" l="1"/>
  <c r="G359"/>
  <c r="G358" l="1"/>
  <c r="G380"/>
  <c r="G378"/>
  <c r="H379"/>
  <c r="H378" l="1"/>
  <c r="H243" i="76"/>
  <c r="G305" i="19" l="1"/>
  <c r="G304" s="1"/>
  <c r="H42" i="57" l="1"/>
  <c r="G42"/>
  <c r="G438" i="60" l="1"/>
  <c r="G435" s="1"/>
  <c r="G434" s="1"/>
  <c r="D23" i="65" s="1"/>
  <c r="H197" i="77"/>
  <c r="H196" s="1"/>
  <c r="G197"/>
  <c r="H195"/>
  <c r="H194" s="1"/>
  <c r="G195"/>
  <c r="H254" i="76"/>
  <c r="H168" i="77"/>
  <c r="H167" s="1"/>
  <c r="G168"/>
  <c r="G167" s="1"/>
  <c r="G166"/>
  <c r="G165" s="1"/>
  <c r="H164"/>
  <c r="H156"/>
  <c r="G156"/>
  <c r="H157"/>
  <c r="G157"/>
  <c r="H140"/>
  <c r="H138" s="1"/>
  <c r="G140"/>
  <c r="G138" s="1"/>
  <c r="H58"/>
  <c r="H57" s="1"/>
  <c r="G57"/>
  <c r="H52"/>
  <c r="H50" s="1"/>
  <c r="G52"/>
  <c r="H49"/>
  <c r="G49"/>
  <c r="H48"/>
  <c r="G48"/>
  <c r="H44"/>
  <c r="G44"/>
  <c r="H43"/>
  <c r="G43"/>
  <c r="H41"/>
  <c r="H40" s="1"/>
  <c r="G41"/>
  <c r="G40" s="1"/>
  <c r="H39"/>
  <c r="G39"/>
  <c r="G38" s="1"/>
  <c r="H35"/>
  <c r="H34" s="1"/>
  <c r="G35"/>
  <c r="G34" s="1"/>
  <c r="H33"/>
  <c r="G33"/>
  <c r="H32"/>
  <c r="H31" s="1"/>
  <c r="G32"/>
  <c r="H30"/>
  <c r="G30"/>
  <c r="G29" s="1"/>
  <c r="H23"/>
  <c r="H21" s="1"/>
  <c r="G23"/>
  <c r="G21" s="1"/>
  <c r="H17"/>
  <c r="H19"/>
  <c r="H13"/>
  <c r="H12" s="1"/>
  <c r="H11" s="1"/>
  <c r="G13"/>
  <c r="G12" s="1"/>
  <c r="G11" s="1"/>
  <c r="G55"/>
  <c r="H55"/>
  <c r="F38" i="65"/>
  <c r="H451" i="60"/>
  <c r="H449" s="1"/>
  <c r="H448" s="1"/>
  <c r="H441" s="1"/>
  <c r="H440" s="1"/>
  <c r="F24" i="65" s="1"/>
  <c r="G451" i="60"/>
  <c r="H472"/>
  <c r="G472"/>
  <c r="G471" s="1"/>
  <c r="G470" s="1"/>
  <c r="G456" s="1"/>
  <c r="D26" i="65" s="1"/>
  <c r="H431" i="60"/>
  <c r="H430" s="1"/>
  <c r="H429" s="1"/>
  <c r="G431"/>
  <c r="G430" s="1"/>
  <c r="G429" s="1"/>
  <c r="G449" l="1"/>
  <c r="G448" s="1"/>
  <c r="G441" s="1"/>
  <c r="G440" s="1"/>
  <c r="D24" i="65" s="1"/>
  <c r="H47" i="77"/>
  <c r="H46" s="1"/>
  <c r="G47"/>
  <c r="G46" s="1"/>
  <c r="H51"/>
  <c r="H22"/>
  <c r="G42"/>
  <c r="H54"/>
  <c r="H16"/>
  <c r="H15" s="1"/>
  <c r="H193"/>
  <c r="H192" s="1"/>
  <c r="H53"/>
  <c r="H45" s="1"/>
  <c r="G19"/>
  <c r="G53"/>
  <c r="G50"/>
  <c r="G51"/>
  <c r="G139"/>
  <c r="H29"/>
  <c r="H38"/>
  <c r="G54"/>
  <c r="G31"/>
  <c r="G194"/>
  <c r="G22"/>
  <c r="G17"/>
  <c r="G196"/>
  <c r="G45" l="1"/>
  <c r="H42"/>
  <c r="G16"/>
  <c r="G15"/>
  <c r="G193"/>
  <c r="G192" s="1"/>
  <c r="H14" l="1"/>
  <c r="G14"/>
  <c r="H407" i="60" l="1"/>
  <c r="H406" s="1"/>
  <c r="H420"/>
  <c r="H423"/>
  <c r="H426"/>
  <c r="G406"/>
  <c r="G405" s="1"/>
  <c r="G404" l="1"/>
  <c r="D34" i="65" s="1"/>
  <c r="H410" i="60"/>
  <c r="H405" s="1"/>
  <c r="H404" s="1"/>
  <c r="F34" i="65" s="1"/>
  <c r="G396" i="60" l="1"/>
  <c r="H396"/>
  <c r="H398"/>
  <c r="G398"/>
  <c r="H400"/>
  <c r="G400"/>
  <c r="H385"/>
  <c r="H387"/>
  <c r="H389"/>
  <c r="H391"/>
  <c r="G385"/>
  <c r="G387"/>
  <c r="G389"/>
  <c r="G391"/>
  <c r="H382"/>
  <c r="G382"/>
  <c r="H347"/>
  <c r="H349"/>
  <c r="G349"/>
  <c r="H351"/>
  <c r="G351"/>
  <c r="H353"/>
  <c r="G353"/>
  <c r="H355"/>
  <c r="G355"/>
  <c r="H363"/>
  <c r="H361"/>
  <c r="G359"/>
  <c r="G361"/>
  <c r="G363"/>
  <c r="G367"/>
  <c r="H333"/>
  <c r="H332" s="1"/>
  <c r="G333"/>
  <c r="G332" s="1"/>
  <c r="G331" s="1"/>
  <c r="D30" i="65" s="1"/>
  <c r="G327" i="60"/>
  <c r="H312"/>
  <c r="G312"/>
  <c r="G295"/>
  <c r="H297"/>
  <c r="G297"/>
  <c r="H286"/>
  <c r="G286"/>
  <c r="G289"/>
  <c r="H282"/>
  <c r="H281" s="1"/>
  <c r="G282"/>
  <c r="G281" s="1"/>
  <c r="H239"/>
  <c r="H238" s="1"/>
  <c r="G239"/>
  <c r="H234"/>
  <c r="G234"/>
  <c r="H216"/>
  <c r="G216"/>
  <c r="H220"/>
  <c r="H222"/>
  <c r="G220"/>
  <c r="G222"/>
  <c r="H210"/>
  <c r="G210"/>
  <c r="H193"/>
  <c r="H194"/>
  <c r="G194"/>
  <c r="H196"/>
  <c r="G196"/>
  <c r="H198"/>
  <c r="G198"/>
  <c r="G193"/>
  <c r="H188"/>
  <c r="G188"/>
  <c r="H101"/>
  <c r="H103"/>
  <c r="G101"/>
  <c r="G103"/>
  <c r="H95"/>
  <c r="H94" s="1"/>
  <c r="G95"/>
  <c r="G94" s="1"/>
  <c r="H87"/>
  <c r="F15" i="65" s="1"/>
  <c r="G87" i="60"/>
  <c r="H56"/>
  <c r="H55" s="1"/>
  <c r="G56"/>
  <c r="G55" s="1"/>
  <c r="H346" l="1"/>
  <c r="H345" s="1"/>
  <c r="G384"/>
  <c r="G381" s="1"/>
  <c r="G215"/>
  <c r="G293"/>
  <c r="G292" s="1"/>
  <c r="D45" i="65" s="1"/>
  <c r="H384" i="60"/>
  <c r="H381" s="1"/>
  <c r="D17" i="65"/>
  <c r="F17"/>
  <c r="G394" i="60"/>
  <c r="G393" s="1"/>
  <c r="H394"/>
  <c r="H393" s="1"/>
  <c r="G100"/>
  <c r="G99" s="1"/>
  <c r="G98" s="1"/>
  <c r="H100"/>
  <c r="H207" i="76"/>
  <c r="H17"/>
  <c r="H12"/>
  <c r="H16"/>
  <c r="E28" i="17" l="1"/>
  <c r="E25"/>
  <c r="G415" i="76" l="1"/>
  <c r="G405"/>
  <c r="G404" s="1"/>
  <c r="G403" s="1"/>
  <c r="H493" i="19"/>
  <c r="G493"/>
  <c r="H398" i="76"/>
  <c r="G370"/>
  <c r="G371"/>
  <c r="G373"/>
  <c r="G375"/>
  <c r="G376"/>
  <c r="G377"/>
  <c r="G381"/>
  <c r="H382"/>
  <c r="G383"/>
  <c r="G384"/>
  <c r="G512" i="19"/>
  <c r="G386" i="76"/>
  <c r="G387"/>
  <c r="H391"/>
  <c r="H388"/>
  <c r="G389"/>
  <c r="G390"/>
  <c r="G392"/>
  <c r="G393"/>
  <c r="G366"/>
  <c r="G365" s="1"/>
  <c r="G364" s="1"/>
  <c r="G344"/>
  <c r="G343"/>
  <c r="G342"/>
  <c r="G339"/>
  <c r="G337"/>
  <c r="G335" s="1"/>
  <c r="G333"/>
  <c r="G331"/>
  <c r="H318"/>
  <c r="H312"/>
  <c r="G313"/>
  <c r="G312" s="1"/>
  <c r="G315"/>
  <c r="G314" s="1"/>
  <c r="G319"/>
  <c r="G318" s="1"/>
  <c r="G323"/>
  <c r="G322" s="1"/>
  <c r="G275"/>
  <c r="G274" s="1"/>
  <c r="G276"/>
  <c r="G282"/>
  <c r="G287"/>
  <c r="G289"/>
  <c r="G288" s="1"/>
  <c r="G291"/>
  <c r="G290" s="1"/>
  <c r="G293"/>
  <c r="G292" s="1"/>
  <c r="G295"/>
  <c r="G294" s="1"/>
  <c r="G305"/>
  <c r="G261"/>
  <c r="G260" s="1"/>
  <c r="H251"/>
  <c r="H250" s="1"/>
  <c r="G256"/>
  <c r="G255"/>
  <c r="G252"/>
  <c r="G245"/>
  <c r="G241"/>
  <c r="G227"/>
  <c r="H229"/>
  <c r="H233"/>
  <c r="H231"/>
  <c r="G232"/>
  <c r="G231" s="1"/>
  <c r="G234"/>
  <c r="G233" s="1"/>
  <c r="H206"/>
  <c r="G213"/>
  <c r="G212" s="1"/>
  <c r="G188"/>
  <c r="G186" s="1"/>
  <c r="H179"/>
  <c r="H181"/>
  <c r="G182"/>
  <c r="G181" s="1"/>
  <c r="G180"/>
  <c r="G179" s="1"/>
  <c r="G170"/>
  <c r="G155"/>
  <c r="G66"/>
  <c r="G68"/>
  <c r="G67" s="1"/>
  <c r="G93"/>
  <c r="G92" s="1"/>
  <c r="G95"/>
  <c r="G94" s="1"/>
  <c r="G56"/>
  <c r="G57"/>
  <c r="H47"/>
  <c r="G49"/>
  <c r="G48"/>
  <c r="H41"/>
  <c r="H39"/>
  <c r="H37"/>
  <c r="H32"/>
  <c r="G38"/>
  <c r="H15"/>
  <c r="G20"/>
  <c r="G18" s="1"/>
  <c r="G17" s="1"/>
  <c r="G16" s="1"/>
  <c r="H11"/>
  <c r="G13"/>
  <c r="H576" i="19"/>
  <c r="H575" s="1"/>
  <c r="H574" s="1"/>
  <c r="H573" s="1"/>
  <c r="H572" s="1"/>
  <c r="H570"/>
  <c r="G570"/>
  <c r="G568"/>
  <c r="G515"/>
  <c r="G518"/>
  <c r="H521"/>
  <c r="G521"/>
  <c r="G378" i="76"/>
  <c r="G369" l="1"/>
  <c r="G75"/>
  <c r="G74" s="1"/>
  <c r="G304"/>
  <c r="G286"/>
  <c r="G284"/>
  <c r="G567" i="19"/>
  <c r="G55" i="76"/>
  <c r="G54" s="1"/>
  <c r="G224"/>
  <c r="G223" s="1"/>
  <c r="H492" i="19"/>
  <c r="G492"/>
  <c r="H309" i="76"/>
  <c r="H308" s="1"/>
  <c r="H298" s="1"/>
  <c r="H269" s="1"/>
  <c r="H268" s="1"/>
  <c r="H168"/>
  <c r="H167" s="1"/>
  <c r="G332"/>
  <c r="G338"/>
  <c r="G380"/>
  <c r="G372" s="1"/>
  <c r="H224"/>
  <c r="H249"/>
  <c r="G254"/>
  <c r="H368"/>
  <c r="H367" s="1"/>
  <c r="G154"/>
  <c r="G153" s="1"/>
  <c r="G15"/>
  <c r="G12"/>
  <c r="G382"/>
  <c r="G391"/>
  <c r="G388"/>
  <c r="G385"/>
  <c r="G341"/>
  <c r="G272"/>
  <c r="H223"/>
  <c r="G47"/>
  <c r="G37"/>
  <c r="G11"/>
  <c r="G330" l="1"/>
  <c r="G368"/>
  <c r="G367" s="1"/>
  <c r="F27" i="17"/>
  <c r="H499" i="19" l="1"/>
  <c r="G499"/>
  <c r="G541"/>
  <c r="G538" s="1"/>
  <c r="G530" l="1"/>
  <c r="H558"/>
  <c r="G556"/>
  <c r="G558"/>
  <c r="G554" s="1"/>
  <c r="H551"/>
  <c r="G549"/>
  <c r="G551"/>
  <c r="G546"/>
  <c r="H339"/>
  <c r="G339"/>
  <c r="H329"/>
  <c r="G528" l="1"/>
  <c r="H338"/>
  <c r="G338"/>
  <c r="G529"/>
  <c r="G44" i="76"/>
  <c r="G43" s="1"/>
  <c r="G42"/>
  <c r="G41" s="1"/>
  <c r="G40"/>
  <c r="G39" s="1"/>
  <c r="G35"/>
  <c r="G34" s="1"/>
  <c r="G33"/>
  <c r="G32" s="1"/>
  <c r="H323" i="19"/>
  <c r="G323"/>
  <c r="H317"/>
  <c r="G315"/>
  <c r="G306"/>
  <c r="H299"/>
  <c r="G292"/>
  <c r="H294"/>
  <c r="G294"/>
  <c r="G281"/>
  <c r="G284"/>
  <c r="H285"/>
  <c r="H274"/>
  <c r="H245"/>
  <c r="G245"/>
  <c r="G238"/>
  <c r="G146"/>
  <c r="G289" l="1"/>
  <c r="G288" s="1"/>
  <c r="G287" s="1"/>
  <c r="G280"/>
  <c r="G279" s="1"/>
  <c r="G278" s="1"/>
  <c r="H244"/>
  <c r="G244"/>
  <c r="H284"/>
  <c r="H320"/>
  <c r="H273"/>
  <c r="G320"/>
  <c r="G319" s="1"/>
  <c r="G314"/>
  <c r="H222"/>
  <c r="H224"/>
  <c r="H228"/>
  <c r="G222"/>
  <c r="G224"/>
  <c r="G226"/>
  <c r="G228"/>
  <c r="H206"/>
  <c r="G204"/>
  <c r="G206"/>
  <c r="H198"/>
  <c r="G198"/>
  <c r="H174"/>
  <c r="G174"/>
  <c r="G176"/>
  <c r="H165"/>
  <c r="G165"/>
  <c r="G160"/>
  <c r="G158"/>
  <c r="G144"/>
  <c r="G138"/>
  <c r="H136"/>
  <c r="G117"/>
  <c r="H131"/>
  <c r="H130" s="1"/>
  <c r="H113"/>
  <c r="H114"/>
  <c r="G114"/>
  <c r="G112"/>
  <c r="H106"/>
  <c r="G106"/>
  <c r="G100"/>
  <c r="G99" s="1"/>
  <c r="G98" s="1"/>
  <c r="G97" s="1"/>
  <c r="G96" s="1"/>
  <c r="G82"/>
  <c r="H67"/>
  <c r="G67"/>
  <c r="G62"/>
  <c r="H52"/>
  <c r="H18"/>
  <c r="H17" s="1"/>
  <c r="H16" s="1"/>
  <c r="H22"/>
  <c r="G22"/>
  <c r="G17" s="1"/>
  <c r="H25"/>
  <c r="H33"/>
  <c r="H30"/>
  <c r="G30"/>
  <c r="G33"/>
  <c r="G36"/>
  <c r="H490"/>
  <c r="H465"/>
  <c r="G473"/>
  <c r="G460" s="1"/>
  <c r="G437"/>
  <c r="H439"/>
  <c r="G439"/>
  <c r="G443"/>
  <c r="H445"/>
  <c r="G445"/>
  <c r="G449"/>
  <c r="H398"/>
  <c r="G382"/>
  <c r="G384"/>
  <c r="G386"/>
  <c r="G388"/>
  <c r="G392"/>
  <c r="H394"/>
  <c r="G394"/>
  <c r="G396"/>
  <c r="G398"/>
  <c r="G408"/>
  <c r="G346"/>
  <c r="G352"/>
  <c r="G173" l="1"/>
  <c r="G203"/>
  <c r="G459"/>
  <c r="G376"/>
  <c r="G221"/>
  <c r="G436"/>
  <c r="G155"/>
  <c r="G154" s="1"/>
  <c r="G111"/>
  <c r="G143"/>
  <c r="G142" s="1"/>
  <c r="H29"/>
  <c r="G29"/>
  <c r="H15"/>
  <c r="H27"/>
  <c r="G27"/>
  <c r="G342"/>
  <c r="G341" s="1"/>
  <c r="G337" s="1"/>
  <c r="D31" i="17" s="1"/>
  <c r="H489" i="19"/>
  <c r="H66"/>
  <c r="H105"/>
  <c r="H112"/>
  <c r="H111" s="1"/>
  <c r="H164"/>
  <c r="H51"/>
  <c r="H41" s="1"/>
  <c r="G489"/>
  <c r="G66"/>
  <c r="G105"/>
  <c r="G135"/>
  <c r="G134" s="1"/>
  <c r="D20" i="17" s="1"/>
  <c r="G164" i="19"/>
  <c r="G163" s="1"/>
  <c r="H319"/>
  <c r="G329"/>
  <c r="H28" l="1"/>
  <c r="G141"/>
  <c r="D22" i="17" s="1"/>
  <c r="H14" i="19"/>
  <c r="G28"/>
  <c r="G220"/>
  <c r="G219" s="1"/>
  <c r="G218" s="1"/>
  <c r="G65"/>
  <c r="G64" s="1"/>
  <c r="H163"/>
  <c r="G172"/>
  <c r="D17" i="17"/>
  <c r="G488" i="19"/>
  <c r="H65"/>
  <c r="H64" s="1"/>
  <c r="H488"/>
  <c r="H210"/>
  <c r="E49" i="65"/>
  <c r="G15" i="19" l="1"/>
  <c r="G16"/>
  <c r="G171"/>
  <c r="G214" i="60"/>
  <c r="G213" s="1"/>
  <c r="G37" i="77"/>
  <c r="G36" s="1"/>
  <c r="G347" i="60"/>
  <c r="G346" s="1"/>
  <c r="H218"/>
  <c r="H215" s="1"/>
  <c r="H214" s="1"/>
  <c r="H213" s="1"/>
  <c r="H37" i="77"/>
  <c r="H36" s="1"/>
  <c r="H336" i="60"/>
  <c r="G375" i="19"/>
  <c r="G374" s="1"/>
  <c r="G373" s="1"/>
  <c r="D32" i="17" s="1"/>
  <c r="G271" i="76"/>
  <c r="G270" s="1"/>
  <c r="G269" s="1"/>
  <c r="G131" i="19"/>
  <c r="G130" s="1"/>
  <c r="G152" i="76"/>
  <c r="G151" s="1"/>
  <c r="G52" i="19"/>
  <c r="G242" i="76"/>
  <c r="G240" s="1"/>
  <c r="H209" i="60"/>
  <c r="H99"/>
  <c r="H98" s="1"/>
  <c r="H97" s="1"/>
  <c r="E39" i="65"/>
  <c r="G208" i="60"/>
  <c r="G207" s="1"/>
  <c r="G209"/>
  <c r="G14" i="19" l="1"/>
  <c r="D12" i="17"/>
  <c r="H62" i="60"/>
  <c r="F18" i="65"/>
  <c r="H212" i="60"/>
  <c r="F36" i="65"/>
  <c r="G212" i="60"/>
  <c r="D36" i="65"/>
  <c r="G345" i="60"/>
  <c r="F13" i="17"/>
  <c r="E13"/>
  <c r="G51" i="19"/>
  <c r="G41" s="1"/>
  <c r="D15" i="17" s="1"/>
  <c r="G150" i="76"/>
  <c r="G73" s="1"/>
  <c r="G27" i="77"/>
  <c r="G28"/>
  <c r="H28"/>
  <c r="H27"/>
  <c r="H208" i="60"/>
  <c r="H207" s="1"/>
  <c r="H317"/>
  <c r="H316" s="1"/>
  <c r="G317"/>
  <c r="G316" s="1"/>
  <c r="H321"/>
  <c r="H320" s="1"/>
  <c r="H319" s="1"/>
  <c r="G321"/>
  <c r="G320"/>
  <c r="G319" s="1"/>
  <c r="H166" i="77"/>
  <c r="H165" s="1"/>
  <c r="H153" s="1"/>
  <c r="H152" s="1"/>
  <c r="H207" l="1"/>
  <c r="G164"/>
  <c r="H339" i="60"/>
  <c r="H335" s="1"/>
  <c r="H295"/>
  <c r="H293" s="1"/>
  <c r="G280"/>
  <c r="D43" i="65" s="1"/>
  <c r="H280" i="60"/>
  <c r="F43" i="65" s="1"/>
  <c r="G285" i="60"/>
  <c r="D44" i="65" s="1"/>
  <c r="F44"/>
  <c r="G279" i="60" l="1"/>
  <c r="G153" i="77"/>
  <c r="G152" s="1"/>
  <c r="G207" s="1"/>
  <c r="H331" i="60"/>
  <c r="F30" i="65" s="1"/>
  <c r="D42" l="1"/>
  <c r="H279" i="60"/>
  <c r="F42" i="65"/>
  <c r="G97" i="60" l="1"/>
  <c r="D18" i="65" s="1"/>
  <c r="G62" i="60" l="1"/>
  <c r="H364" i="76"/>
  <c r="H332"/>
  <c r="F40" i="17" l="1"/>
  <c r="H311" i="19"/>
  <c r="H304"/>
  <c r="H310" l="1"/>
  <c r="G209" i="76"/>
  <c r="D40" i="17" l="1"/>
  <c r="G553" i="19"/>
  <c r="G545" s="1"/>
  <c r="G441"/>
  <c r="G253" i="76"/>
  <c r="G251" s="1"/>
  <c r="G250" s="1"/>
  <c r="G311"/>
  <c r="G310" s="1"/>
  <c r="G36"/>
  <c r="G31" s="1"/>
  <c r="H393" i="19"/>
  <c r="H353"/>
  <c r="H450"/>
  <c r="H409"/>
  <c r="G202" l="1"/>
  <c r="H352"/>
  <c r="H392"/>
  <c r="H408"/>
  <c r="G435"/>
  <c r="G434" s="1"/>
  <c r="G433" s="1"/>
  <c r="H449"/>
  <c r="G30" i="76"/>
  <c r="G263" i="19"/>
  <c r="G259"/>
  <c r="G126"/>
  <c r="G121"/>
  <c r="G116" l="1"/>
  <c r="G110" s="1"/>
  <c r="G258"/>
  <c r="G257" s="1"/>
  <c r="G256" s="1"/>
  <c r="G255"/>
  <c r="G109" l="1"/>
  <c r="G108" s="1"/>
  <c r="D18" i="17" s="1"/>
  <c r="G396" i="76"/>
  <c r="G395" s="1"/>
  <c r="G394" s="1"/>
  <c r="G311" i="19"/>
  <c r="G310" l="1"/>
  <c r="G178" i="76"/>
  <c r="H550" i="19" l="1"/>
  <c r="H549" l="1"/>
  <c r="H547"/>
  <c r="H546" l="1"/>
  <c r="H23" i="57" l="1"/>
  <c r="G23"/>
  <c r="E23" i="43"/>
  <c r="F23"/>
  <c r="D82" i="15" l="1"/>
  <c r="H293" i="19" l="1"/>
  <c r="H292" l="1"/>
  <c r="H289" s="1"/>
  <c r="H288" s="1"/>
  <c r="H287" s="1"/>
  <c r="G197" i="76"/>
  <c r="G194" s="1"/>
  <c r="G185" s="1"/>
  <c r="H389" i="19" l="1"/>
  <c r="D54" i="15"/>
  <c r="H599" i="19" l="1"/>
  <c r="H388"/>
  <c r="F47" i="17" l="1"/>
  <c r="E60" i="66"/>
  <c r="C60"/>
  <c r="E36"/>
  <c r="C36"/>
  <c r="C55" i="29"/>
  <c r="C33"/>
  <c r="G402" i="76"/>
  <c r="H341"/>
  <c r="H330" s="1"/>
  <c r="G328"/>
  <c r="G317"/>
  <c r="H242"/>
  <c r="H240" s="1"/>
  <c r="H239" s="1"/>
  <c r="G171"/>
  <c r="G168" s="1"/>
  <c r="H68"/>
  <c r="H67" s="1"/>
  <c r="H66"/>
  <c r="H65" s="1"/>
  <c r="G60"/>
  <c r="H36"/>
  <c r="H31" s="1"/>
  <c r="D16" i="61"/>
  <c r="C16"/>
  <c r="D14"/>
  <c r="C20" i="21"/>
  <c r="C15"/>
  <c r="H325" i="60"/>
  <c r="H324" s="1"/>
  <c r="H323" s="1"/>
  <c r="H315" s="1"/>
  <c r="E50" i="65" s="1"/>
  <c r="G325" i="60"/>
  <c r="H187"/>
  <c r="H186" s="1"/>
  <c r="J118"/>
  <c r="J57"/>
  <c r="I57"/>
  <c r="H569" i="19"/>
  <c r="H557"/>
  <c r="G211" i="76"/>
  <c r="G210" s="1"/>
  <c r="G207" s="1"/>
  <c r="H542" i="19"/>
  <c r="H532"/>
  <c r="H520"/>
  <c r="H519"/>
  <c r="H517"/>
  <c r="H516"/>
  <c r="H514"/>
  <c r="H513"/>
  <c r="H498"/>
  <c r="G498"/>
  <c r="G497" s="1"/>
  <c r="H476"/>
  <c r="H475"/>
  <c r="H474"/>
  <c r="H469"/>
  <c r="H444"/>
  <c r="H438"/>
  <c r="H397"/>
  <c r="H387"/>
  <c r="H385"/>
  <c r="H383"/>
  <c r="H348"/>
  <c r="H283"/>
  <c r="H282"/>
  <c r="H272"/>
  <c r="H267"/>
  <c r="H266"/>
  <c r="H265"/>
  <c r="H264"/>
  <c r="H262"/>
  <c r="H261"/>
  <c r="H260"/>
  <c r="H240"/>
  <c r="H239"/>
  <c r="H197"/>
  <c r="H186"/>
  <c r="H177"/>
  <c r="G65" i="76"/>
  <c r="H162" i="19"/>
  <c r="H161"/>
  <c r="H148"/>
  <c r="H129"/>
  <c r="H128"/>
  <c r="H125"/>
  <c r="H124"/>
  <c r="H123"/>
  <c r="H120"/>
  <c r="H119"/>
  <c r="H101"/>
  <c r="H63"/>
  <c r="E58" i="65"/>
  <c r="E47"/>
  <c r="E46" s="1"/>
  <c r="E38"/>
  <c r="E36"/>
  <c r="E35" s="1"/>
  <c r="E34"/>
  <c r="E27"/>
  <c r="E20"/>
  <c r="E19" s="1"/>
  <c r="E17"/>
  <c r="E15"/>
  <c r="E12"/>
  <c r="E63" i="17"/>
  <c r="E53"/>
  <c r="E49"/>
  <c r="E48" s="1"/>
  <c r="E45"/>
  <c r="E44" s="1"/>
  <c r="E31"/>
  <c r="E30" s="1"/>
  <c r="E23"/>
  <c r="E20"/>
  <c r="E19" s="1"/>
  <c r="E17"/>
  <c r="Y96" i="58"/>
  <c r="X96"/>
  <c r="W96"/>
  <c r="V96"/>
  <c r="Q96"/>
  <c r="P96"/>
  <c r="O96"/>
  <c r="N96"/>
  <c r="Z94"/>
  <c r="R94"/>
  <c r="Z93"/>
  <c r="R93"/>
  <c r="Z92"/>
  <c r="R92"/>
  <c r="Z91"/>
  <c r="R91"/>
  <c r="Z90"/>
  <c r="R90"/>
  <c r="Z89"/>
  <c r="R89"/>
  <c r="Z88"/>
  <c r="R88"/>
  <c r="Z87"/>
  <c r="R87"/>
  <c r="Z86"/>
  <c r="R86"/>
  <c r="Z85"/>
  <c r="R85"/>
  <c r="Z84"/>
  <c r="R84"/>
  <c r="Z83"/>
  <c r="R83"/>
  <c r="Z82"/>
  <c r="R82"/>
  <c r="Z81"/>
  <c r="R81"/>
  <c r="Z80"/>
  <c r="R80"/>
  <c r="Z79"/>
  <c r="R79"/>
  <c r="E44"/>
  <c r="D44"/>
  <c r="E16"/>
  <c r="D16"/>
  <c r="E13"/>
  <c r="D13"/>
  <c r="I139" i="15"/>
  <c r="H139"/>
  <c r="G139"/>
  <c r="D12"/>
  <c r="H59" i="57"/>
  <c r="G59"/>
  <c r="E42"/>
  <c r="D42"/>
  <c r="F41"/>
  <c r="F39"/>
  <c r="H38"/>
  <c r="G38"/>
  <c r="E38"/>
  <c r="D38"/>
  <c r="F34"/>
  <c r="F33" s="1"/>
  <c r="H33"/>
  <c r="G33"/>
  <c r="E33"/>
  <c r="D33"/>
  <c r="F30"/>
  <c r="F29" s="1"/>
  <c r="H29"/>
  <c r="G29"/>
  <c r="E29"/>
  <c r="D29"/>
  <c r="H27"/>
  <c r="G27"/>
  <c r="F27"/>
  <c r="E27"/>
  <c r="D27"/>
  <c r="F23"/>
  <c r="E23"/>
  <c r="D23"/>
  <c r="H18"/>
  <c r="G18"/>
  <c r="F18"/>
  <c r="E18"/>
  <c r="D18"/>
  <c r="H13"/>
  <c r="G13"/>
  <c r="E13"/>
  <c r="E12" s="1"/>
  <c r="D13"/>
  <c r="D12" s="1"/>
  <c r="F12"/>
  <c r="F60" i="43"/>
  <c r="E60"/>
  <c r="F43"/>
  <c r="E43"/>
  <c r="F39"/>
  <c r="E39"/>
  <c r="D39"/>
  <c r="F37"/>
  <c r="F34"/>
  <c r="E34"/>
  <c r="F31"/>
  <c r="F30" s="1"/>
  <c r="E30"/>
  <c r="D30"/>
  <c r="F28"/>
  <c r="E28"/>
  <c r="D28"/>
  <c r="F20"/>
  <c r="E20"/>
  <c r="F19"/>
  <c r="E19"/>
  <c r="D18"/>
  <c r="F13"/>
  <c r="F12" s="1"/>
  <c r="E13"/>
  <c r="E12" s="1"/>
  <c r="J139" i="15" l="1"/>
  <c r="F28" i="65"/>
  <c r="F27" s="1"/>
  <c r="H185" i="60"/>
  <c r="G206" i="76"/>
  <c r="D14" i="17"/>
  <c r="H382" i="19"/>
  <c r="H437"/>
  <c r="H62"/>
  <c r="H195"/>
  <c r="H396"/>
  <c r="E11" i="17"/>
  <c r="H386" i="19"/>
  <c r="H468"/>
  <c r="H568"/>
  <c r="H567" s="1"/>
  <c r="H384"/>
  <c r="H443"/>
  <c r="H554"/>
  <c r="H541"/>
  <c r="G167" i="76"/>
  <c r="G59"/>
  <c r="G58"/>
  <c r="E11" i="57"/>
  <c r="D11"/>
  <c r="Z96" i="58"/>
  <c r="F45" i="17"/>
  <c r="R96" i="58"/>
  <c r="H64" i="76"/>
  <c r="H63" s="1"/>
  <c r="H53" s="1"/>
  <c r="F18" i="43"/>
  <c r="F11" s="1"/>
  <c r="H30" i="76"/>
  <c r="G324" i="60"/>
  <c r="G323" s="1"/>
  <c r="G315" s="1"/>
  <c r="D50" i="65" s="1"/>
  <c r="D49"/>
  <c r="G401" i="76"/>
  <c r="H512" i="19"/>
  <c r="G324" i="76"/>
  <c r="G316"/>
  <c r="H515" i="19"/>
  <c r="H518"/>
  <c r="H556"/>
  <c r="H263"/>
  <c r="H259"/>
  <c r="H281"/>
  <c r="H280" s="1"/>
  <c r="H279" s="1"/>
  <c r="H278" s="1"/>
  <c r="H238"/>
  <c r="H176"/>
  <c r="H160"/>
  <c r="H155" s="1"/>
  <c r="H154" s="1"/>
  <c r="H100"/>
  <c r="H99" s="1"/>
  <c r="H98" s="1"/>
  <c r="H97" s="1"/>
  <c r="H96" s="1"/>
  <c r="H135"/>
  <c r="H134" s="1"/>
  <c r="H473"/>
  <c r="F11" i="57"/>
  <c r="H314" i="60"/>
  <c r="F50" i="65" s="1"/>
  <c r="G313" i="19"/>
  <c r="G303" s="1"/>
  <c r="D54" i="17" s="1"/>
  <c r="E22" i="65"/>
  <c r="E26"/>
  <c r="E25" s="1"/>
  <c r="E24"/>
  <c r="E14"/>
  <c r="H237" i="60"/>
  <c r="H236" s="1"/>
  <c r="J220"/>
  <c r="H311"/>
  <c r="H310" s="1"/>
  <c r="H309" s="1"/>
  <c r="I220"/>
  <c r="G311"/>
  <c r="G310" s="1"/>
  <c r="G309" s="1"/>
  <c r="G414" i="76"/>
  <c r="G413" s="1"/>
  <c r="G187" i="60"/>
  <c r="G186" s="1"/>
  <c r="J109"/>
  <c r="I109"/>
  <c r="J272"/>
  <c r="D11" i="15"/>
  <c r="H12" i="57"/>
  <c r="G12"/>
  <c r="E18" i="43"/>
  <c r="E11" s="1"/>
  <c r="J286" i="60"/>
  <c r="I286"/>
  <c r="I272"/>
  <c r="J268"/>
  <c r="I268"/>
  <c r="H192"/>
  <c r="I118"/>
  <c r="J113"/>
  <c r="I113"/>
  <c r="F49" i="65"/>
  <c r="D12" i="43"/>
  <c r="E48" i="65"/>
  <c r="E12" i="58"/>
  <c r="E44" i="65"/>
  <c r="E43" s="1"/>
  <c r="E42" s="1"/>
  <c r="D12" i="58"/>
  <c r="H329" i="76"/>
  <c r="H248" s="1"/>
  <c r="E33" i="65"/>
  <c r="E32" s="1"/>
  <c r="E13"/>
  <c r="E16"/>
  <c r="E54" i="17"/>
  <c r="E52" s="1"/>
  <c r="G537" i="19"/>
  <c r="D23" i="17" s="1"/>
  <c r="H463" i="19"/>
  <c r="G168"/>
  <c r="G167" s="1"/>
  <c r="H147"/>
  <c r="H187"/>
  <c r="H205"/>
  <c r="H118"/>
  <c r="H122"/>
  <c r="H127"/>
  <c r="H145"/>
  <c r="H227"/>
  <c r="H316"/>
  <c r="H347"/>
  <c r="G400" i="76"/>
  <c r="E22" i="17"/>
  <c r="E41"/>
  <c r="E39" s="1"/>
  <c r="E24"/>
  <c r="G197" i="19"/>
  <c r="G196" s="1"/>
  <c r="G246" i="76"/>
  <c r="H209" i="19"/>
  <c r="G244" i="76"/>
  <c r="G327"/>
  <c r="G140" i="19" l="1"/>
  <c r="D24" i="17"/>
  <c r="F39" i="65"/>
  <c r="H233" i="60"/>
  <c r="H376" i="19"/>
  <c r="H497"/>
  <c r="D28" i="65"/>
  <c r="D27" s="1"/>
  <c r="G185" i="60"/>
  <c r="H258" i="19"/>
  <c r="H257" s="1"/>
  <c r="H256" s="1"/>
  <c r="H191" i="60"/>
  <c r="G243" i="76"/>
  <c r="G239" s="1"/>
  <c r="H61" i="19"/>
  <c r="H60"/>
  <c r="H59" s="1"/>
  <c r="H538"/>
  <c r="H537" s="1"/>
  <c r="H566"/>
  <c r="F11" i="17"/>
  <c r="H194" i="19"/>
  <c r="H553"/>
  <c r="H545" s="1"/>
  <c r="F29" i="17"/>
  <c r="F28" s="1"/>
  <c r="H436" i="19"/>
  <c r="H144"/>
  <c r="H146"/>
  <c r="H237"/>
  <c r="H117"/>
  <c r="H185"/>
  <c r="H462"/>
  <c r="H460" s="1"/>
  <c r="H173"/>
  <c r="G195"/>
  <c r="H315"/>
  <c r="H121"/>
  <c r="H204"/>
  <c r="H203" s="1"/>
  <c r="H126"/>
  <c r="G210"/>
  <c r="H11" i="57"/>
  <c r="H255" i="19"/>
  <c r="G309" i="76"/>
  <c r="G308" s="1"/>
  <c r="G268" s="1"/>
  <c r="I268" s="1"/>
  <c r="G329"/>
  <c r="E21" i="17"/>
  <c r="G11" i="57"/>
  <c r="G485" i="60" s="1"/>
  <c r="D11" i="43"/>
  <c r="G308" i="60"/>
  <c r="D47" i="65"/>
  <c r="D46" s="1"/>
  <c r="G455" i="60"/>
  <c r="G433" s="1"/>
  <c r="D25" i="65"/>
  <c r="H308" i="60"/>
  <c r="F47" i="65"/>
  <c r="F46" s="1"/>
  <c r="G314" i="60"/>
  <c r="D48" i="65"/>
  <c r="I239" i="60"/>
  <c r="G238"/>
  <c r="F35" i="65"/>
  <c r="E31"/>
  <c r="D35"/>
  <c r="I16" i="60"/>
  <c r="F25" i="65"/>
  <c r="G399" i="76"/>
  <c r="G398" s="1"/>
  <c r="G397" s="1"/>
  <c r="H226" i="19"/>
  <c r="H221" s="1"/>
  <c r="G81"/>
  <c r="G60"/>
  <c r="G61"/>
  <c r="H346"/>
  <c r="H342" s="1"/>
  <c r="E23" i="65"/>
  <c r="E21" s="1"/>
  <c r="H297" i="19"/>
  <c r="H298"/>
  <c r="G297"/>
  <c r="G298"/>
  <c r="H426" i="76"/>
  <c r="F33" i="65"/>
  <c r="D33"/>
  <c r="J239" i="60"/>
  <c r="G237"/>
  <c r="G236" s="1"/>
  <c r="G233" s="1"/>
  <c r="I194"/>
  <c r="G192"/>
  <c r="G191" s="1"/>
  <c r="J194"/>
  <c r="D19" i="65"/>
  <c r="F41"/>
  <c r="F48"/>
  <c r="H455" i="60"/>
  <c r="H433" s="1"/>
  <c r="D41" i="65"/>
  <c r="G54" i="60"/>
  <c r="G40" s="1"/>
  <c r="G39" s="1"/>
  <c r="H13"/>
  <c r="E41" i="65"/>
  <c r="E37" s="1"/>
  <c r="E30"/>
  <c r="G273" i="19"/>
  <c r="G272" s="1"/>
  <c r="D46" i="17"/>
  <c r="G201" i="19"/>
  <c r="D34" i="17" s="1"/>
  <c r="E15"/>
  <c r="G237" i="19"/>
  <c r="G326" i="76"/>
  <c r="H531" i="19"/>
  <c r="G249" i="76"/>
  <c r="G80" i="19" l="1"/>
  <c r="G79" s="1"/>
  <c r="G602"/>
  <c r="G599"/>
  <c r="F37" i="65"/>
  <c r="G190" i="60"/>
  <c r="D32" i="65"/>
  <c r="H190" i="60"/>
  <c r="F32" i="65"/>
  <c r="D39"/>
  <c r="D37" s="1"/>
  <c r="D45" i="17"/>
  <c r="G271" i="19"/>
  <c r="H116"/>
  <c r="H110" s="1"/>
  <c r="H143"/>
  <c r="H142" s="1"/>
  <c r="H141" s="1"/>
  <c r="C28" i="21"/>
  <c r="C27" s="1"/>
  <c r="H314" i="19"/>
  <c r="F43" i="17"/>
  <c r="H487" i="60"/>
  <c r="D55" i="65"/>
  <c r="D54" s="1"/>
  <c r="D53" s="1"/>
  <c r="D52" s="1"/>
  <c r="D51" s="1"/>
  <c r="H202" i="19"/>
  <c r="H133"/>
  <c r="F53" i="17"/>
  <c r="H435" i="19"/>
  <c r="F14" i="17"/>
  <c r="F26"/>
  <c r="F25" s="1"/>
  <c r="E12"/>
  <c r="G194" i="19"/>
  <c r="E14" i="17"/>
  <c r="H58" i="19"/>
  <c r="F12" i="17"/>
  <c r="H565" i="19"/>
  <c r="H375"/>
  <c r="H374" s="1"/>
  <c r="H373" s="1"/>
  <c r="G209"/>
  <c r="D29" i="17"/>
  <c r="D28" s="1"/>
  <c r="H459" i="19"/>
  <c r="H313"/>
  <c r="H303" s="1"/>
  <c r="H302" s="1"/>
  <c r="F20" i="17"/>
  <c r="F19" s="1"/>
  <c r="H172" i="19"/>
  <c r="H13"/>
  <c r="G236"/>
  <c r="G233" s="1"/>
  <c r="G59"/>
  <c r="H496"/>
  <c r="H236"/>
  <c r="H233" s="1"/>
  <c r="D47" i="17"/>
  <c r="G566" i="19"/>
  <c r="D28" i="61"/>
  <c r="D27" s="1"/>
  <c r="D25" s="1"/>
  <c r="D31" i="65"/>
  <c r="H485" i="60"/>
  <c r="F55" i="65" s="1"/>
  <c r="F54" s="1"/>
  <c r="F53" s="1"/>
  <c r="F52" s="1"/>
  <c r="F51" s="1"/>
  <c r="H530" i="19"/>
  <c r="H528" s="1"/>
  <c r="C29" i="61"/>
  <c r="C28" s="1"/>
  <c r="C27" s="1"/>
  <c r="C25" s="1"/>
  <c r="F46" i="17"/>
  <c r="F44" s="1"/>
  <c r="H271" i="19"/>
  <c r="G32" i="17"/>
  <c r="G487" i="60"/>
  <c r="G296" i="19"/>
  <c r="D49" i="17"/>
  <c r="D48" s="1"/>
  <c r="G133" i="19"/>
  <c r="D19" i="17"/>
  <c r="D38"/>
  <c r="D37" s="1"/>
  <c r="H296" i="19"/>
  <c r="F49" i="17"/>
  <c r="F48" s="1"/>
  <c r="D21" i="65"/>
  <c r="F20"/>
  <c r="F19" s="1"/>
  <c r="F21"/>
  <c r="D16"/>
  <c r="E29"/>
  <c r="E18"/>
  <c r="F31"/>
  <c r="H54" i="60"/>
  <c r="I27" s="1"/>
  <c r="G458" i="19"/>
  <c r="G457" s="1"/>
  <c r="H184"/>
  <c r="H183" s="1"/>
  <c r="H182" s="1"/>
  <c r="H167" s="1"/>
  <c r="G302"/>
  <c r="G64" i="76"/>
  <c r="G63" s="1"/>
  <c r="G53" s="1"/>
  <c r="G40" i="19"/>
  <c r="D43" i="17"/>
  <c r="G70" i="19" l="1"/>
  <c r="D13" i="17"/>
  <c r="D10" s="1"/>
  <c r="D35"/>
  <c r="F54"/>
  <c r="D44"/>
  <c r="H140" i="19"/>
  <c r="H109"/>
  <c r="H108" s="1"/>
  <c r="H40" i="60"/>
  <c r="H39" s="1"/>
  <c r="F16" i="65"/>
  <c r="F11" s="1"/>
  <c r="F29"/>
  <c r="C26" i="21"/>
  <c r="C24" s="1"/>
  <c r="G484" i="60"/>
  <c r="G483" s="1"/>
  <c r="G482" s="1"/>
  <c r="G481" s="1"/>
  <c r="G480" s="1"/>
  <c r="F41" i="17"/>
  <c r="F39" s="1"/>
  <c r="H230" i="19"/>
  <c r="D41" i="17"/>
  <c r="D39" s="1"/>
  <c r="G230" i="19"/>
  <c r="G200"/>
  <c r="F23" i="17"/>
  <c r="H201" i="19"/>
  <c r="F52" i="17"/>
  <c r="H564" i="19"/>
  <c r="H434"/>
  <c r="D21" i="17"/>
  <c r="D53"/>
  <c r="D52" s="1"/>
  <c r="G58" i="19"/>
  <c r="H341"/>
  <c r="H337" s="1"/>
  <c r="H220"/>
  <c r="H219" s="1"/>
  <c r="H218" s="1"/>
  <c r="G565"/>
  <c r="D26" i="17" s="1"/>
  <c r="H495" i="19"/>
  <c r="H171"/>
  <c r="G35" i="17"/>
  <c r="H529" i="19"/>
  <c r="H458"/>
  <c r="H457" s="1"/>
  <c r="H484" i="60"/>
  <c r="H483" s="1"/>
  <c r="H482" s="1"/>
  <c r="H481" s="1"/>
  <c r="H480" s="1"/>
  <c r="G34" i="17"/>
  <c r="D29" i="65"/>
  <c r="G13" i="60"/>
  <c r="D11" i="65"/>
  <c r="E11"/>
  <c r="E56" s="1"/>
  <c r="E60" s="1"/>
  <c r="G496" i="19"/>
  <c r="H330" i="60"/>
  <c r="H329" s="1"/>
  <c r="G330"/>
  <c r="G329" s="1"/>
  <c r="G61"/>
  <c r="H61"/>
  <c r="G31" i="17"/>
  <c r="J223" i="76"/>
  <c r="H70" i="19" l="1"/>
  <c r="E18" i="17"/>
  <c r="E10" s="1"/>
  <c r="E55" s="1"/>
  <c r="F18"/>
  <c r="F56" i="65"/>
  <c r="G39" i="19"/>
  <c r="H536"/>
  <c r="H200"/>
  <c r="H433"/>
  <c r="H35" i="17"/>
  <c r="H483" i="19"/>
  <c r="F31" i="17"/>
  <c r="F15"/>
  <c r="H40" i="19"/>
  <c r="D25" i="17"/>
  <c r="G564" i="19"/>
  <c r="G536" s="1"/>
  <c r="G495"/>
  <c r="G483" s="1"/>
  <c r="D36" i="17" s="1"/>
  <c r="D56" i="65"/>
  <c r="F24" i="17"/>
  <c r="G486" i="60"/>
  <c r="G488" s="1"/>
  <c r="H486"/>
  <c r="G13" i="19"/>
  <c r="G248" i="76"/>
  <c r="F10" i="17" l="1"/>
  <c r="E61"/>
  <c r="E65" s="1"/>
  <c r="C32" i="61"/>
  <c r="C31" s="1"/>
  <c r="C30" s="1"/>
  <c r="C26" s="1"/>
  <c r="C24" s="1"/>
  <c r="C15" s="1"/>
  <c r="C14" s="1"/>
  <c r="F32" i="17"/>
  <c r="F34"/>
  <c r="I308" i="76"/>
  <c r="G69" i="19"/>
  <c r="H336"/>
  <c r="F22" i="17"/>
  <c r="F21" s="1"/>
  <c r="H39" i="19"/>
  <c r="I249" i="76"/>
  <c r="I367"/>
  <c r="F36" i="17"/>
  <c r="F35"/>
  <c r="F38"/>
  <c r="F37" s="1"/>
  <c r="D57" i="65"/>
  <c r="D60" s="1"/>
  <c r="D32" i="61"/>
  <c r="D31" s="1"/>
  <c r="D30" s="1"/>
  <c r="D29" s="1"/>
  <c r="D26" s="1"/>
  <c r="D24" s="1"/>
  <c r="H488" i="60"/>
  <c r="F57" i="65"/>
  <c r="F58" s="1"/>
  <c r="H69" i="19" l="1"/>
  <c r="H335"/>
  <c r="G36" i="17"/>
  <c r="G30" s="1"/>
  <c r="F30"/>
  <c r="G336" i="19"/>
  <c r="D30" i="17"/>
  <c r="D55" s="1"/>
  <c r="D58" i="65"/>
  <c r="F60"/>
  <c r="J248" i="76"/>
  <c r="I248" l="1"/>
  <c r="F55" i="17"/>
  <c r="G335" i="19"/>
  <c r="G597" s="1"/>
  <c r="G600" s="1"/>
  <c r="H597" l="1"/>
  <c r="G603" s="1"/>
  <c r="G606" s="1"/>
  <c r="I597" l="1"/>
  <c r="F57" i="17"/>
  <c r="F58" s="1"/>
  <c r="H600" i="19"/>
  <c r="C29" i="21"/>
  <c r="C25" s="1"/>
  <c r="C23" s="1"/>
  <c r="C14" s="1"/>
  <c r="C13" s="1"/>
  <c r="D57" i="17"/>
  <c r="D58" s="1"/>
  <c r="C30" i="21" l="1"/>
  <c r="C31" s="1"/>
  <c r="G420" i="76"/>
  <c r="G419" s="1"/>
  <c r="G426" l="1"/>
  <c r="I426" s="1"/>
  <c r="G429" s="1"/>
</calcChain>
</file>

<file path=xl/comments1.xml><?xml version="1.0" encoding="utf-8"?>
<comments xmlns="http://schemas.openxmlformats.org/spreadsheetml/2006/main">
  <authors>
    <author>Доржиева</author>
    <author>Чингис</author>
  </authors>
  <commentList>
    <comment ref="G68" authorId="0">
      <text>
        <r>
          <rPr>
            <b/>
            <sz val="9"/>
            <color indexed="81"/>
            <rFont val="Tahoma"/>
            <family val="2"/>
            <charset val="204"/>
          </rPr>
          <t>Доржиева:</t>
        </r>
        <r>
          <rPr>
            <sz val="9"/>
            <color indexed="81"/>
            <rFont val="Tahoma"/>
            <family val="2"/>
            <charset val="204"/>
          </rPr>
          <t xml:space="preserve">
20 729,340 к распределению 
3226,16 резерв нераспределенный
 </t>
        </r>
      </text>
    </comment>
    <comment ref="G107" authorId="0">
      <text>
        <r>
          <rPr>
            <b/>
            <sz val="9"/>
            <color indexed="81"/>
            <rFont val="Tahoma"/>
            <family val="2"/>
            <charset val="204"/>
          </rPr>
          <t>Доржиева:</t>
        </r>
        <r>
          <rPr>
            <sz val="9"/>
            <color indexed="81"/>
            <rFont val="Tahoma"/>
            <family val="2"/>
            <charset val="204"/>
          </rPr>
          <t xml:space="preserve">
105,   выборы наушки; 500 На АХО ГСМ;
45,00 МО СП ;
45,799 МО СП;
99,00 ДШИ
</t>
        </r>
      </text>
    </comment>
    <comment ref="G307" authorId="0">
      <text>
        <r>
          <rPr>
            <b/>
            <sz val="9"/>
            <color indexed="81"/>
            <rFont val="Tahoma"/>
            <family val="2"/>
            <charset val="204"/>
          </rPr>
          <t>Доржиева:</t>
        </r>
        <r>
          <rPr>
            <sz val="9"/>
            <color indexed="81"/>
            <rFont val="Tahoma"/>
            <family val="2"/>
            <charset val="204"/>
          </rPr>
          <t xml:space="preserve">
1225,0 не распределены
МАРТ сессия: -155,00
</t>
        </r>
      </text>
    </comment>
    <comment ref="G548" authorId="1">
      <text>
        <r>
          <rPr>
            <b/>
            <sz val="9"/>
            <color indexed="81"/>
            <rFont val="Tahoma"/>
            <family val="2"/>
            <charset val="204"/>
          </rPr>
          <t>Чингис:</t>
        </r>
        <r>
          <rPr>
            <sz val="9"/>
            <color indexed="81"/>
            <rFont val="Tahoma"/>
            <family val="2"/>
            <charset val="204"/>
          </rPr>
          <t xml:space="preserve">
Э.А. -460т.р. На инвестклимат
</t>
        </r>
      </text>
    </comment>
  </commentList>
</comments>
</file>

<file path=xl/comments2.xml><?xml version="1.0" encoding="utf-8"?>
<comments xmlns="http://schemas.openxmlformats.org/spreadsheetml/2006/main">
  <authors>
    <author>Чингис</author>
  </authors>
  <commentList>
    <comment ref="G450" authorId="0">
      <text>
        <r>
          <rPr>
            <b/>
            <sz val="9"/>
            <color indexed="81"/>
            <rFont val="Tahoma"/>
            <family val="2"/>
            <charset val="204"/>
          </rPr>
          <t>Чингис:</t>
        </r>
        <r>
          <rPr>
            <sz val="9"/>
            <color indexed="81"/>
            <rFont val="Tahoma"/>
            <family val="2"/>
            <charset val="204"/>
          </rPr>
          <t xml:space="preserve">
Э.А. -460т.р. На инвестклимат
</t>
        </r>
      </text>
    </comment>
  </commentList>
</comments>
</file>

<file path=xl/sharedStrings.xml><?xml version="1.0" encoding="utf-8"?>
<sst xmlns="http://schemas.openxmlformats.org/spreadsheetml/2006/main" count="9975" uniqueCount="1360">
  <si>
    <t>99 3 00 73060</t>
  </si>
  <si>
    <t>99 0 00 00000</t>
  </si>
  <si>
    <t>99 9 00 80900</t>
  </si>
  <si>
    <t>Осуществление государственных полномочий</t>
  </si>
  <si>
    <t>ГП Город Кяхта</t>
  </si>
  <si>
    <t>СП Тамирское</t>
  </si>
  <si>
    <t>МУНИЦИПАЛЬНОЕ КАЗЕННОЕ  УЧРЕЖДЕНИЕ РАЙОННОЕ УПРАВЛЕНИЕ ОБРАЗОВАНИЯ МУНИЦИПАЛЬНОГО ОБРАЗОВАНИЯ  «КЯХТИНСКИЙ РАЙОН» РЕСПУБЛИКИ БУРЯТИЯ</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</si>
  <si>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</si>
  <si>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</si>
  <si>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01 06 05 01 05 0000 640</t>
  </si>
  <si>
    <t>Иные выплаты персоналу государственных (муниципальных) органов, за исключением фонда оплаты труда</t>
  </si>
  <si>
    <t>Наименование видов заимствований</t>
  </si>
  <si>
    <t>привлечение средств</t>
  </si>
  <si>
    <t>погашение основной суммы долга</t>
  </si>
  <si>
    <t>Кредиты кредитных организаций</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</si>
  <si>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</si>
  <si>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</si>
  <si>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</si>
  <si>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</si>
  <si>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</si>
  <si>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</si>
  <si>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</si>
  <si>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</si>
  <si>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</si>
  <si>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</si>
  <si>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1 05 02010 02 0000 110</t>
  </si>
  <si>
    <t>Единый налог на вмененный доход для отдельных видов деятельности</t>
  </si>
  <si>
    <t xml:space="preserve"> 1 05 02020 02 0000 110 </t>
  </si>
  <si>
    <t>Единый  налог  на  вмененный доход для                    отдельных видов деятельности (за налоговые периоды, истекшие до 1  января 2011 года)</t>
  </si>
  <si>
    <t>1 05 03010 01 0000 110</t>
  </si>
  <si>
    <t>Единый сельскохозяйственный налог</t>
  </si>
  <si>
    <t xml:space="preserve">1 05 03020 01 0000 110 </t>
  </si>
  <si>
    <t xml:space="preserve">1 08 03010 01 0000 110 </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</si>
  <si>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</si>
  <si>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1 09 00000 00 0000 000</t>
  </si>
  <si>
    <t xml:space="preserve">Задолженность и перерасчеты по отмененным налогам, сборам и иным обязательным платежам </t>
  </si>
  <si>
    <t>Министерство внутренних дел по Республике Бурятия</t>
  </si>
  <si>
    <t>Резервные средства</t>
  </si>
  <si>
    <t xml:space="preserve">в том числе за счет средств республиканского бюджета </t>
  </si>
  <si>
    <t>Дотации на выравнивание уровня бюджетной обеспеченности субъектов Российской Федерации и муниципальных образований</t>
  </si>
  <si>
    <t xml:space="preserve">Наименование </t>
  </si>
  <si>
    <t>№</t>
  </si>
  <si>
    <t xml:space="preserve">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</si>
  <si>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</si>
  <si>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</si>
  <si>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</si>
  <si>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</si>
  <si>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</si>
  <si>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</si>
  <si>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Другие вопросы в области жилищно-коммунального хозяйства</t>
  </si>
  <si>
    <t>Осуществление государственных полномочий по хранению, формированию, учету и использованию архивного фонда Республики Бурятия</t>
  </si>
  <si>
    <t>510</t>
  </si>
  <si>
    <t>Другие вопросы в области национальной экономики</t>
  </si>
  <si>
    <t>511</t>
  </si>
  <si>
    <t>Осуществление государственных полномочий по созданию и организации деятельности административных комиссий</t>
  </si>
  <si>
    <t>Налог, взимаемый в связи с применением патентной системы налогообложения, зачисляемый в бюджеты муниципальных районов</t>
  </si>
  <si>
    <t>182 1 05 040200 2 0000 110</t>
  </si>
  <si>
    <t>БЕЗВОЗМЕЗДНЫЕ ПОСТУПЛЕНИЯ ОТ ДРУГИХ БЮДЖЕТОВ БЮДЖЕТНОЙ СИСТЕМЫ РОССИЙСКОЙ ФЕДЕРАЦИИ</t>
  </si>
  <si>
    <t>Подраздел-</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</si>
  <si>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</si>
  <si>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</si>
  <si>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</si>
  <si>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НАЦИОНАЛЬНАЯ БЕЗОПАСНОСТЬ И ПРАВООХРАНИТЕЛЬНАЯ ДЕЯТЕЛЬНОСТЬ</t>
  </si>
  <si>
    <t>НАЦИОНАЛЬНАЯ ЭКОНОМИКА</t>
  </si>
  <si>
    <t>ЖИЛИЩНО-КОММУНАЛЬНОЕ ХОЗЯЙСТВО</t>
  </si>
  <si>
    <t>ОБРАЗОВАНИЕ</t>
  </si>
  <si>
    <t>КУЛЬТУРА, КИНЕМАТОГРАФИЯ</t>
  </si>
  <si>
    <t>СОЦИАЛЬНАЯ ПОЛИТИКА</t>
  </si>
  <si>
    <t>ФИЗИЧЕСКАЯ КУЛЬТУРА И СПОРТ</t>
  </si>
  <si>
    <t>Физическая культура</t>
  </si>
  <si>
    <t>СРЕДСТВА МАССОВОЙ ИНФОРМАЦИИ</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</si>
  <si>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</si>
  <si>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</si>
  <si>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Прочие межбюджетные трансферты общего характера</t>
  </si>
  <si>
    <t>Приложение 8</t>
  </si>
  <si>
    <t>Код</t>
  </si>
  <si>
    <t>сумма</t>
  </si>
  <si>
    <t>Источники финансирования дефицита бюджета-всего</t>
  </si>
  <si>
    <t>ИСТОЧНИКИ ВНУТРЕННЕГО ФИНАНСИРОВАНИЯ ДЕФИЦИТОВ БЮДЖЕТОВ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</si>
  <si>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</si>
  <si>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</si>
  <si>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</si>
  <si>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1 11 07015 05 0000 120</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</si>
  <si>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</si>
  <si>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</si>
  <si>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муниципальных районов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</si>
  <si>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</si>
  <si>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</si>
  <si>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муниципальных районов</t>
  </si>
  <si>
    <t>931 9000 0000 00 0000 000</t>
  </si>
  <si>
    <t>931 0100 0000 00 0000 000</t>
  </si>
  <si>
    <t>931 0103 0000 00 0000 000</t>
  </si>
  <si>
    <t>931 0103 0000 00 0000 700</t>
  </si>
  <si>
    <t>931 0103 0000 00 0000 800</t>
  </si>
  <si>
    <t>931 0103 0000 05 0000 710</t>
  </si>
  <si>
    <t>931 01 03 0000 05 0000 810</t>
  </si>
  <si>
    <t>931 0105 0000 00 0000 000</t>
  </si>
  <si>
    <t>931 0105 0000 00 0000 500</t>
  </si>
  <si>
    <t>Расходы на обеспечение деятельности (оказание услуг) учреждений культуры (дома культуры, другие учреждения культуры)</t>
  </si>
  <si>
    <t>Развитие общественной инфраструктуры, капитальный ремонт, реконструкции, строительства объектов образования, физической культуры и спорта, культуры, дорожного хозяйственного жилищно-коммунального хозяйства</t>
  </si>
  <si>
    <t>414</t>
  </si>
  <si>
    <t>Содержание инструкторов по физической культуре и спорту</t>
  </si>
  <si>
    <t>(тыс.рублей)</t>
  </si>
  <si>
    <t>Иные доходы местного бюджета, администрирование которых может осуществляться главными администраторами доходов местного бюджета, в пределах их компетенции</t>
  </si>
  <si>
    <t>Код бюджетной классификации</t>
  </si>
  <si>
    <t>НАЛОГОВЫЕ И НЕНАЛОГОВЫЕ ДОХОДЫ</t>
  </si>
  <si>
    <t>182 1 01 00000 00 0000 000</t>
  </si>
  <si>
    <t>НАЛОГИ НА ПРИБЫЛЬ, ДОХОДЫ</t>
  </si>
  <si>
    <t>182 1 01 02000 01 0000 110</t>
  </si>
  <si>
    <t>НАЛОГ НА ДОХОДЫ ФИЗИЧЕСКИХ ЛИЦ</t>
  </si>
  <si>
    <t>182 1 05 00000 00 0000 000</t>
  </si>
  <si>
    <t>МКУ РУО МО "Кяхтинский район"</t>
  </si>
  <si>
    <t>936</t>
  </si>
  <si>
    <t xml:space="preserve">Непрограммные расходы </t>
  </si>
  <si>
    <t xml:space="preserve">МО «Кяхтинский район»  </t>
  </si>
  <si>
    <t>ВСЕГО РАСХОДОВ</t>
  </si>
  <si>
    <t>Федеральная регистрационная служба</t>
  </si>
  <si>
    <t xml:space="preserve"> </t>
  </si>
  <si>
    <t>НАЛОГИ НА ТОВАРЫ (РАБОТЫ, УСЛУГИ), РЕАЛИЗУЕМЫЕ НА ТЕРРИТОРИИ РОССИЙСКОЙ ФЕДЕРАЦИИ</t>
  </si>
  <si>
    <t xml:space="preserve">КСП </t>
  </si>
  <si>
    <t>160</t>
  </si>
  <si>
    <t>Федеральная служба по регулированию алкогольного рынка</t>
  </si>
  <si>
    <t>1 05 04020 02 0000 110</t>
  </si>
  <si>
    <t>Управление Федерального казначейства</t>
  </si>
  <si>
    <t>934 1 11 05013 13 0000 120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</si>
  <si>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</si>
  <si>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</si>
  <si>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</si>
  <si>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</si>
  <si>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934 1 14 06013 13 0000 430</t>
  </si>
  <si>
    <t>Всего на 2015г. было</t>
  </si>
  <si>
    <t>Всего на 2015г.</t>
  </si>
  <si>
    <t>1 11 05013 13 0000 120</t>
  </si>
  <si>
    <t>1 14 06013 13 0000 430</t>
  </si>
  <si>
    <t>Прочие субвенции бюджетам муниципальных районов</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</si>
  <si>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</si>
  <si>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</si>
  <si>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Присяжные заседатели</t>
  </si>
  <si>
    <t>Расходы связанные с осуществлением полномочий по обеспечению деятельности (оказание услуг) учреждений культуры (дома культуры, другие учреждения культуры)</t>
  </si>
  <si>
    <t>Субсидия на повышение средней заработной платы работников муниципальных учреждений культуры</t>
  </si>
  <si>
    <t>ВСЕГО</t>
  </si>
  <si>
    <t>Приложение 6</t>
  </si>
  <si>
    <t>Приложение 11</t>
  </si>
  <si>
    <t>1 13 02995 05 0000 130</t>
  </si>
  <si>
    <t>Прочие доходы от компенсации затрат бюджетов муниципальных районов</t>
  </si>
  <si>
    <t>Судебная система</t>
  </si>
  <si>
    <t>Приложение 3</t>
  </si>
  <si>
    <t>источников финансирования дефицита бюджета МР (ГО)</t>
  </si>
  <si>
    <t xml:space="preserve"> «О бюджете муниципального образования</t>
  </si>
  <si>
    <t xml:space="preserve">администратора источников финансирования дефицита бюджета </t>
  </si>
  <si>
    <t>(тыс. рублей)</t>
  </si>
  <si>
    <t>2 02 00000 00 0000 000</t>
  </si>
  <si>
    <t>2.Иные межбюджетные трансферты в бюджеты поселений от бюджета муниципального района</t>
  </si>
  <si>
    <t>Межбюджетные трансферты общего характера бюджетам субъектов Российской Федерации и муниципальных образований</t>
  </si>
  <si>
    <t>Обеспечение деятельности финансовых, налоговых и таможенных органов и органов финансового (финансово-бюджетного) надзора</t>
  </si>
  <si>
    <t>Фонд оплаты труда государственных (муниципальных) органов и взносы по обязательному социальному страхованию</t>
  </si>
  <si>
    <t>Выполнение других обязательств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</si>
  <si>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</si>
  <si>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200</t>
  </si>
  <si>
    <t>240</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</si>
  <si>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</si>
  <si>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</si>
  <si>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01 02 00 00 05 0000 810</t>
  </si>
  <si>
    <t>01 02 00 00 05 0000 710</t>
  </si>
  <si>
    <t>МУНИЦИПАЛЬНОЕ КАЗЕННОЕ  УЧРЕЖДЕНИЕ ФИНАНСОВОЕ УПРАВЛЕНИЕ АДМИНИСТРАЦИИ МО «КЯХТИНСКИЙ РАЙОН» РЕСПУБЛИКИ БУРЯТИЯ</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</si>
  <si>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</si>
  <si>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</si>
  <si>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</si>
  <si>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</si>
  <si>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</si>
  <si>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</si>
  <si>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</si>
  <si>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Прочие  дотации  бюджетам  муниципальных  районов</t>
  </si>
  <si>
    <t>Прочие субсидии бюджетам муниципальных районов</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</si>
  <si>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</si>
  <si>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</si>
  <si>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</si>
  <si>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</si>
  <si>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Уменьшение остатков средств бюджетов</t>
  </si>
  <si>
    <t>На повышение средней заработной платы педагогических работников муниципальных учреждений дополнительного образования отрасли "Культура" на 2014 год в целях выполнения Указа Президента Российской Федерации от 1 июня 2012 года №761 "О Национальной стратегии действий в интересах детей на 2012-2017 годы"</t>
  </si>
  <si>
    <t>Осуществление государственных полномочий по организации и осуществлению  деятельности по опеке и попечительству в Республике Бурятия</t>
  </si>
  <si>
    <t>Осуществление государственных полномочий по образованию и организации деятельности комиссий по делам несовершеннолетних и защите их прав в Республике Бурятия</t>
  </si>
  <si>
    <t>Увеличение фонда оплаты труда педагогических работников муниципальных  учреждений дополнительного образования</t>
  </si>
  <si>
    <t xml:space="preserve">Мероприятия по оздоровлению детей, за исключением детей, находящихся в трудной жизненной ситуации </t>
  </si>
  <si>
    <t>Общий объем заимствований, направляемых на покрытие дефицита местного бюджета и погашение долговых обязательств муниципального образования</t>
  </si>
  <si>
    <t>Таблица 1.1</t>
  </si>
  <si>
    <t>Охрана окружающей среды</t>
  </si>
  <si>
    <t>Охрана объектов растительного и животного мира и среды их обитания</t>
  </si>
  <si>
    <t>Иные выплаты населению</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</si>
  <si>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</si>
  <si>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МО «Кяхтинский район» </t>
  </si>
  <si>
    <t xml:space="preserve"> «Кяхтинский район» </t>
  </si>
  <si>
    <t>МКУ Совет депутатов МО "Кяхтинский район"</t>
  </si>
  <si>
    <t>МКУ ФУ Администрации МО «Кяхтинский район»</t>
  </si>
  <si>
    <t>Расходы, связанные с осуществлением полномочий по формированию и исполнению бюджета</t>
  </si>
  <si>
    <t>931</t>
  </si>
  <si>
    <t xml:space="preserve">МКУ Администрация МО «Кяхтинский район» </t>
  </si>
  <si>
    <t>Резервный фонд Администрации МО "Кяхтинский район"</t>
  </si>
  <si>
    <t>934</t>
  </si>
  <si>
    <t>к Решению Совета депутатов</t>
  </si>
  <si>
    <t>Бюджетные кредиты от других бюджетов бюджетной системы Российской Федерации</t>
  </si>
  <si>
    <t>Итого</t>
  </si>
  <si>
    <t xml:space="preserve">ДОХОДЫ +КРЕДИТ </t>
  </si>
  <si>
    <t xml:space="preserve">РАСХОДЫ +КРЕДИТ </t>
  </si>
  <si>
    <t>Наименование</t>
  </si>
  <si>
    <t>Раздел</t>
  </si>
  <si>
    <t>Подраздел</t>
  </si>
  <si>
    <t>Целевая статья</t>
  </si>
  <si>
    <t>Вид расхода</t>
  </si>
  <si>
    <t>Сумма</t>
  </si>
  <si>
    <t>01</t>
  </si>
  <si>
    <t>02</t>
  </si>
  <si>
    <t>07</t>
  </si>
  <si>
    <t>03</t>
  </si>
  <si>
    <t>09</t>
  </si>
  <si>
    <t>10</t>
  </si>
  <si>
    <t>06</t>
  </si>
  <si>
    <t>12</t>
  </si>
  <si>
    <t>11</t>
  </si>
  <si>
    <t>04</t>
  </si>
  <si>
    <t>05</t>
  </si>
  <si>
    <t>08</t>
  </si>
  <si>
    <t>ИТОГО расходов</t>
  </si>
  <si>
    <t>14</t>
  </si>
  <si>
    <t>Общегосударственные вопросы</t>
  </si>
  <si>
    <t>Другие общегосударственные вопросы</t>
  </si>
  <si>
    <t>Пенсионное обеспечение</t>
  </si>
  <si>
    <t>Сельское хозяйство и рыболовство</t>
  </si>
  <si>
    <t>Резервные фонды</t>
  </si>
  <si>
    <t xml:space="preserve">Национальная безопасность и правоохранительная деятельность </t>
  </si>
  <si>
    <t>Защита населения и территории от чрезвычайных ситуаций природного и техногенного характера, гражданская оборона</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</si>
  <si>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</si>
  <si>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</si>
  <si>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СУБВЕНЦИИ ОТ ДРУГИХ БЮДЖЕТОВ БЮДЖЕТНОЙ СИСТЕМЫ РОССИЙСКОЙ ФЕДЕРАЦИИ</t>
  </si>
  <si>
    <t>ИНЫЕ МЕЖБЮДЖЕТНЫЕ ТРАНСФЕРТЫ</t>
  </si>
  <si>
    <t>Периодическая печать и издательства</t>
  </si>
  <si>
    <t>13</t>
  </si>
  <si>
    <t>Ежемесячное денежное вознаграждение за классное руководство</t>
  </si>
  <si>
    <t xml:space="preserve">Расходы на обеспечение функционирования специалистов контрольно-счетной палаты муниципального образования </t>
  </si>
  <si>
    <t xml:space="preserve">СП "Алтайское" </t>
  </si>
  <si>
    <t xml:space="preserve">СП "Большекударинское" </t>
  </si>
  <si>
    <t xml:space="preserve">СП "Большелугское" </t>
  </si>
  <si>
    <t xml:space="preserve">СП "Зарянское" </t>
  </si>
  <si>
    <t xml:space="preserve">СП "Кударинское" </t>
  </si>
  <si>
    <t xml:space="preserve">СП "Малокударинское" </t>
  </si>
  <si>
    <t xml:space="preserve">СП "Мурочинское" </t>
  </si>
  <si>
    <t xml:space="preserve">СП "Тамирское" </t>
  </si>
  <si>
    <t xml:space="preserve">СП "Первомайское" </t>
  </si>
  <si>
    <t xml:space="preserve">СП "Субуктуйское" </t>
  </si>
  <si>
    <t xml:space="preserve">СП "Усть-Кяхтинское" </t>
  </si>
  <si>
    <t xml:space="preserve">СП "Хоронхойское" </t>
  </si>
  <si>
    <t xml:space="preserve">СП "Чикойское" </t>
  </si>
  <si>
    <t xml:space="preserve">СП "Шарагольское" </t>
  </si>
  <si>
    <t xml:space="preserve">ГП "Наушкинское" </t>
  </si>
  <si>
    <t xml:space="preserve">ГП "Город Кяхта" </t>
  </si>
  <si>
    <t xml:space="preserve">Итого </t>
  </si>
  <si>
    <t>Массовый спорт</t>
  </si>
  <si>
    <t>Общее образование</t>
  </si>
  <si>
    <t>Иные закупки товаров, работ и услуг для обеспечения государственных (муниципальных) нужд</t>
  </si>
  <si>
    <t>Дотации</t>
  </si>
  <si>
    <t>612</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</si>
  <si>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</si>
  <si>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</si>
  <si>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</si>
  <si>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Дорожное хозяйство (дорожные фонды)</t>
  </si>
  <si>
    <t>Жилищно-коммунальное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</si>
  <si>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</si>
  <si>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Прочая закупка товаров, работ и услуг для обеспечения государственных (муниципальных) нужд</t>
  </si>
  <si>
    <t>Уплата прочих налогов, сборов и иных платежей</t>
  </si>
  <si>
    <t>048 1 12 00000 00 0000 000</t>
  </si>
  <si>
    <t xml:space="preserve">СП Алтайское </t>
  </si>
  <si>
    <t xml:space="preserve">СП Большекударинское </t>
  </si>
  <si>
    <t xml:space="preserve">СП Большелугское </t>
  </si>
  <si>
    <t xml:space="preserve">СП Зарянское </t>
  </si>
  <si>
    <t xml:space="preserve">СП Кударинское </t>
  </si>
  <si>
    <t xml:space="preserve">СП Малокударинское </t>
  </si>
  <si>
    <t xml:space="preserve">СП Мурочинское </t>
  </si>
  <si>
    <t xml:space="preserve">СП Первомайское </t>
  </si>
  <si>
    <t xml:space="preserve">СП Субуктуйское </t>
  </si>
  <si>
    <t xml:space="preserve">СП Тамирское </t>
  </si>
  <si>
    <t xml:space="preserve">СП Усть-Кяхтинское </t>
  </si>
  <si>
    <t xml:space="preserve">СП Хоронхойское </t>
  </si>
  <si>
    <t xml:space="preserve">СП Чикойское </t>
  </si>
  <si>
    <t xml:space="preserve">СП Шарагольское </t>
  </si>
  <si>
    <t xml:space="preserve">СП Усть-киранское </t>
  </si>
  <si>
    <t>СП "Усть-Киранское"</t>
  </si>
  <si>
    <t>СП "Кударинское"</t>
  </si>
  <si>
    <t>182 1 08 03010 01 0000 110</t>
  </si>
  <si>
    <t>931 0105 0000 00 0000 600</t>
  </si>
  <si>
    <t>931 0105 0200 00 0000 500</t>
  </si>
  <si>
    <t>931 0105 0201 00 0000 510</t>
  </si>
  <si>
    <t>931 0105 0201 05 0000 510</t>
  </si>
  <si>
    <t>931 0105 0200 00 0000 600</t>
  </si>
  <si>
    <t>931 0105 0201 00 0000 610</t>
  </si>
  <si>
    <t>931 0105 0201 05 0000 610</t>
  </si>
  <si>
    <t>1. Дотации бюджетам поселений, входящих в состав муниципального района</t>
  </si>
  <si>
    <t>Таблица 2.1</t>
  </si>
  <si>
    <t>ГРБС</t>
  </si>
  <si>
    <t>МО «Кяхтинский район»</t>
  </si>
  <si>
    <t xml:space="preserve"> «Кяхтинский район»</t>
  </si>
  <si>
    <t>Управление Федеральной службы по надзору в сфере природопользования по Республике Бурятия</t>
  </si>
  <si>
    <t>1 12 01000 01 0000 120</t>
  </si>
  <si>
    <t>Плата за негативное воздействие на окружающую среду</t>
  </si>
  <si>
    <t>048</t>
  </si>
  <si>
    <t xml:space="preserve">Управление Федеральной службы по ветеринарному и фитосанитарному надзору по Республике Бурятия </t>
  </si>
  <si>
    <t>081</t>
  </si>
  <si>
    <t>Федеральная служба по надзору в сфере защиты прав потребителей и благополучия человека</t>
  </si>
  <si>
    <t>141</t>
  </si>
  <si>
    <t xml:space="preserve">  Межрайонная инспекция Федеральная налоговая служба по Кяхтинскому району</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</si>
  <si>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</si>
  <si>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</si>
  <si>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</si>
  <si>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</si>
  <si>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</si>
  <si>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НАЛОГИ НА СОВОКУПНЫЙ ДОХОД</t>
  </si>
  <si>
    <t>182 1 05 03000 01 0000 110</t>
  </si>
  <si>
    <t>182 1 08 00000 00 0000 000</t>
  </si>
  <si>
    <t>ГОСУДАРСТВЕННАЯ ПОШЛИНА</t>
  </si>
  <si>
    <t>934 1 11 00000 00 0000 000</t>
  </si>
  <si>
    <t>ДОХОДЫ ОТ ИСПОЛЬЗОВАНИЯ ИМУЩЕСТВА, НАХОДЯЩЕГОСЯ В ГОСУДАРСТВЕННОЙ И МУНИЦИПАЛЬНОЙ СОБСТВЕННОСТИ</t>
  </si>
  <si>
    <t>934 1 11 05035 05 0000 120</t>
  </si>
  <si>
    <t>ПЛАТЕЖИ ПРИ ПОЛЬЗОВАНИИ ПРИРОДНЫМИ РЕСУРСАМИ</t>
  </si>
  <si>
    <t>931 1 13 00000 00 0000 000</t>
  </si>
  <si>
    <t>ДОХОДЫ ОТ ОКАЗАНИЯ ПЛАТНЫХ УСЛУГ И КОМПЕНСАЦИИ ЗАТРАТ ГОСУДАРСТВА</t>
  </si>
  <si>
    <t>931 1 13 03050 05 0000 130</t>
  </si>
  <si>
    <t>934 1 14 00000 00 0000 000</t>
  </si>
  <si>
    <t>ДОХОДЫ ОТ ПРОДАЖИ МАТЕРИАЛЬНЫХ И НЕМАТЕРИАЛЬНЫХ АКТИВОВ</t>
  </si>
  <si>
    <t>Доходы от реализации иного имущества, находящегося в собственности муниципальных районов (за исключением муниципальных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</si>
  <si>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000 1 16 00000 00 0000 000</t>
  </si>
  <si>
    <t>ШТРАФЫ, САНКЦИИ, ВОЗМЕЩЕНИЕ УЩЕРБА</t>
  </si>
  <si>
    <t>931 1 17 00000 00 0000 000</t>
  </si>
  <si>
    <t>ПРОЧИЕ НЕНАЛОГОВЫЕ ДОХОДЫ</t>
  </si>
  <si>
    <t>931 1 17 05050 05 0000 180</t>
  </si>
  <si>
    <t>322</t>
  </si>
  <si>
    <t>Субсидии гражданам на приобретение жилья</t>
  </si>
  <si>
    <t xml:space="preserve">Физическая культура </t>
  </si>
  <si>
    <t>Средства массовой информации</t>
  </si>
  <si>
    <t>Финансирование общеобразовательных учреждений в части реализации ими государственного стандарта общего образования</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</si>
  <si>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</si>
  <si>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</si>
  <si>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автономным учреждениям на иные цели</t>
  </si>
  <si>
    <t>622</t>
  </si>
  <si>
    <t>Культура, кинематография</t>
  </si>
  <si>
    <t>Функционирование  законодательных (представительных) органов государственной власти и представительных органов муниципальных образований</t>
  </si>
  <si>
    <t>321</t>
  </si>
  <si>
    <t xml:space="preserve">Дошкольное образование </t>
  </si>
  <si>
    <t xml:space="preserve">Финансовое обеспечение получения дошкольного образования в образовательных организациях </t>
  </si>
  <si>
    <t>Прочие безвозмездные поступления в бюджеты муниципальных районов</t>
  </si>
  <si>
    <t>Субвенции бюджетам муниципальных районов на ежемесячное денежное вознаграждение за классное руководство</t>
  </si>
  <si>
    <t>01 03 01 00 05 0000 710</t>
  </si>
  <si>
    <t>01 03 01 00 05 0000 810</t>
  </si>
  <si>
    <t>100 1 03 00000 00 0000 000</t>
  </si>
  <si>
    <t>100 1 03 02230 01 0000 110</t>
  </si>
  <si>
    <t>100 1 03 02240 01 0000 110</t>
  </si>
  <si>
    <t>100 1 03 02250 01 0000 110</t>
  </si>
  <si>
    <t>100 1 03 02260 01 0000 110</t>
  </si>
  <si>
    <t>Приложение 1</t>
  </si>
  <si>
    <t>№ п/п</t>
  </si>
  <si>
    <t>Код бюджетной классификации Российской Федерации</t>
  </si>
  <si>
    <t>главного администратора доходов</t>
  </si>
  <si>
    <t>Приложение 2</t>
  </si>
  <si>
    <t>доходов местного бюджета МР (ГО)</t>
  </si>
  <si>
    <t xml:space="preserve">Осуществление отдельного государственного полномочия по поддержке сельскохозяйственного производства </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</si>
  <si>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</si>
  <si>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182 1 01 02010 01 0000 110</t>
  </si>
  <si>
    <t>182 1 01 02020 01 0000 110</t>
  </si>
  <si>
    <t>182 1 01 02030 01 0000 110</t>
  </si>
  <si>
    <t>182 1 01 02040 01 0000 110</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</si>
  <si>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</si>
  <si>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</si>
  <si>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048 1 12 01010 01 0000 120</t>
  </si>
  <si>
    <t>048 1 12 01040 01 0000 120</t>
  </si>
  <si>
    <t>934 1 14 02053 05 0000 410</t>
  </si>
  <si>
    <t xml:space="preserve">Содержание автомобильных дорог общего пользования местного значения </t>
  </si>
  <si>
    <t>Расходы на обеспечение функционирования председателя представительного органа муниципального образования</t>
  </si>
  <si>
    <t>Расходы на обеспечение функционирования руководителя контрольно-счетной палаты муниципального образования и его заместителей</t>
  </si>
  <si>
    <t>Расходы на обеспечение деятельности (оказание услуг) общеобразовательных учреждений дополнительного образования</t>
  </si>
  <si>
    <t>Расходы на обеспечение деятельности (оказание услуг) муниципальных учреждений (учебно - методические кабинеты, централизованные бухгалтерии)</t>
  </si>
  <si>
    <t>Расходы на содержание инструкторов по физической культуре и спорту</t>
  </si>
  <si>
    <t>Расходы, связанные с осуществлением полномочий по контрольно-счетной палате</t>
  </si>
  <si>
    <t>Функционирование высшего должностного лица субъекта Российской Федерации и муниципального образовании</t>
  </si>
  <si>
    <t>Прочие мероприятия, связанные с выполнением обязательств органов местного самоуправления</t>
  </si>
  <si>
    <t xml:space="preserve">Расходы на обеспечение функций  органов местного самоуправления </t>
  </si>
  <si>
    <t xml:space="preserve">Расходы на обеспечение деятельности (оказание услуг) муниципальных учреждений </t>
  </si>
  <si>
    <t>Возврат бюджетных кредитов, предоставленных юридическим лицам из бюджетов муниципальных районов в валюте Российской Федерации</t>
  </si>
  <si>
    <t>Субвенции бюджетам муниципальных районов на выполнение передаваемых полномочий субъектов Российской Федерации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</si>
  <si>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</si>
  <si>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</si>
  <si>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Единый сельскохозяйственный налог (за налоговые периоды, истекшие до 1 января 2011 года)</t>
  </si>
  <si>
    <t>Молодежная политика и оздоровление детей</t>
  </si>
  <si>
    <t>Физическая культура и спорт</t>
  </si>
  <si>
    <t>Социальное обеспечение населения</t>
  </si>
  <si>
    <t>Другие вопросы в области социальной политики</t>
  </si>
  <si>
    <t>Социальная политика</t>
  </si>
  <si>
    <t>Культура</t>
  </si>
  <si>
    <t>Дошкольное образование</t>
  </si>
  <si>
    <t>Образование</t>
  </si>
  <si>
    <t>Другие вопросы в области образования</t>
  </si>
  <si>
    <t>Осуществление государственных полномочий по расчету и предоставлению дотаций поселениям</t>
  </si>
  <si>
    <t>Иные межбюджетные трансферты</t>
  </si>
  <si>
    <t>121</t>
  </si>
  <si>
    <t>244</t>
  </si>
  <si>
    <t>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сообщении(кроме железнодорожного транспорта)</t>
  </si>
  <si>
    <t>Уплата налога на имущество организаций и земельного налога</t>
  </si>
  <si>
    <t>870</t>
  </si>
  <si>
    <t>122</t>
  </si>
  <si>
    <t>Закупка товаров, работ, услуг в сфере информационно-коммуникационных технологий</t>
  </si>
  <si>
    <t>242</t>
  </si>
  <si>
    <t>611</t>
  </si>
  <si>
    <t>621</t>
  </si>
  <si>
    <t>540</t>
  </si>
  <si>
    <t>Национальная экономика</t>
  </si>
  <si>
    <t>Руководство и управление в сфере установленных функций  органов местного самоуправления</t>
  </si>
  <si>
    <t>Прочие межбюджетные трансферты, передаваемые бюджетам муниципальных районов</t>
  </si>
  <si>
    <t>МУНИЦИПАЛЬНОЕ КАЗЕННОЕ  УЧРЕЖДЕНИЕ АДМИНИСТРАЦИЯ МУНИЦИПАЛЬНОГО ОБРАЗОВАНИЯ «КЯХТИНСКИЙ РАЙОН» РЕСПУБЛИКИ БУРЯТИЯ</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</si>
  <si>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</si>
  <si>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выплатам работникам государственных (муниципальных) органов</t>
  </si>
  <si>
    <t>129</t>
  </si>
  <si>
    <t>80 0 00 73180</t>
  </si>
  <si>
    <t>ГП Наушкинское</t>
  </si>
  <si>
    <t>Осуществление мероприятий, связанных с владением, пользованием и распоряжением имуществом, находящимся в муниципальной собственности.</t>
  </si>
  <si>
    <t>Осуществление отдельных государственных полномочий по уведомительной регистрации коллективных договоров</t>
  </si>
  <si>
    <t>СП Усть-Киранское</t>
  </si>
  <si>
    <t>111</t>
  </si>
  <si>
    <t>112</t>
  </si>
  <si>
    <t>119</t>
  </si>
  <si>
    <t>Администрирование передаваемого отдельного государственного полномочия по организации и обеспечению отдыха и оздоровления детей</t>
  </si>
  <si>
    <t>Подготовка проектов межевания и проведение кадастровых работ в отношении земельных участков, выделяемых за счет земельных долей</t>
  </si>
  <si>
    <t xml:space="preserve">931 01 02 00 00 00 0000 000  </t>
  </si>
  <si>
    <t>Кредиты кредитных организаций в валюте Российской Федерации</t>
  </si>
  <si>
    <t>Резервный фонд администрации по ликвидации чрезвычайных ситуаций и последствий стихийных бедствий</t>
  </si>
  <si>
    <t>Закупка товаров, работ и услуг для обеспечения государственных (муниципальных) нужд</t>
  </si>
  <si>
    <t>Пособия, компенсации и иные социальные выплаты гражданам, кроме публичных нормативных обязательств</t>
  </si>
  <si>
    <t>Приложение 5</t>
  </si>
  <si>
    <t xml:space="preserve">РЦКиД </t>
  </si>
  <si>
    <t xml:space="preserve">Содержание бухгалтеров </t>
  </si>
  <si>
    <t>Приложение 7</t>
  </si>
  <si>
    <t>Приложение 15</t>
  </si>
  <si>
    <t>Приложение 17</t>
  </si>
  <si>
    <t xml:space="preserve"> подпрограмма "Подготовка и проведение государственной (итоговой) аттестации выпускников IX и XI(XII) классов"</t>
  </si>
  <si>
    <t xml:space="preserve"> подпрограмма "Организация  летнего отдыха, оздоровления и занятости детей и подростков в МО «Кяхтинский район»"</t>
  </si>
  <si>
    <t xml:space="preserve"> подпрограмма "Развитие системы дополнительного образования  и  развития системы с одаренными детьми в МО «Кяхтинский район»"</t>
  </si>
  <si>
    <t xml:space="preserve"> подпрограмма "Развитие системы общего образования в МО «Кяхтинский  район»"</t>
  </si>
  <si>
    <t>подпрограмма "Развитие системы дошкольного образования в МО «Кяхтинский район»"</t>
  </si>
  <si>
    <t xml:space="preserve"> подпрограмма "Развитие системы общего образования в МО «Кяхтинский  район"</t>
  </si>
  <si>
    <t xml:space="preserve"> подпрограмма "Развитие системы дополнительного образования  и  развития системы с одаренными детьми в МО «Кяхтинский район"</t>
  </si>
  <si>
    <t xml:space="preserve"> подпрограмма "Организация  летнего отдыха, оздоровления и занятости детей и подростков в МО «Кяхтинский район"</t>
  </si>
  <si>
    <t xml:space="preserve"> подпрограмма "Развитие системы дошкольного образования в МО «Кяхтинский район»; "</t>
  </si>
  <si>
    <t>Приложение 12</t>
  </si>
  <si>
    <t>999</t>
  </si>
  <si>
    <t>99</t>
  </si>
  <si>
    <t>Условно утверждаемые расходы</t>
  </si>
  <si>
    <t>Непрограммные расходы</t>
  </si>
  <si>
    <t>Непрограммные расходы органа местного самоуправления</t>
  </si>
  <si>
    <t xml:space="preserve"> «О бюджете муниципального образования "Кяхтинский район"</t>
  </si>
  <si>
    <t>Приложение 14</t>
  </si>
  <si>
    <t>Приложение 13</t>
  </si>
  <si>
    <t>План на год (тыс.руб)</t>
  </si>
  <si>
    <t>Перечень главных администраторов доходов бюджета муниципального образования – органов государственной власти Российской Федерации (государственных органов), органов государственной власти Республики Бурятия (государственных органов)</t>
  </si>
  <si>
    <t>Перечень главных администраторов доходов бюджета муниципального образования – органов муниципальной власти Муниципального образования «Кяхтинский район» (муниципальных органов), органов местного самоуправления  в муниципальном образовании</t>
  </si>
  <si>
    <t>Перечень главных администраторов источников финансирования дефицита бюджета муниципального образования «Кяхтинский район»</t>
  </si>
  <si>
    <t>Дополнительное образование детей</t>
  </si>
  <si>
    <t>2 02 15002 05 0000 151</t>
  </si>
  <si>
    <t>2 02 19999 05 0000 151</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</si>
  <si>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</si>
  <si>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</si>
  <si>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1 14 06013 05 0000 430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</si>
  <si>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</si>
  <si>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</si>
  <si>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01 05 02 00 00 0000 500</t>
  </si>
  <si>
    <t xml:space="preserve">Увеличение прочих остатков денежных средств бюджетов муниципальных районов </t>
  </si>
  <si>
    <t>01 05 02 00 00 0000 600</t>
  </si>
  <si>
    <t xml:space="preserve">Увеличение прочих остатков средств бюджетов </t>
  </si>
  <si>
    <t>01 05 02 01 05 0000 610</t>
  </si>
  <si>
    <t>Уменьшение прочих остатков средств бюджетов муниципальных районов</t>
  </si>
  <si>
    <t>2 02 10000 00 0000 000</t>
  </si>
  <si>
    <t>2 02 20000 00 0000 000</t>
  </si>
  <si>
    <t>2 02 30000 00 0000 000</t>
  </si>
  <si>
    <t>2 02 40000 00 0000 000</t>
  </si>
  <si>
    <t>Приложение 4</t>
  </si>
  <si>
    <t>Приложение 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</si>
  <si>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</si>
  <si>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</si>
  <si>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</si>
  <si>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</si>
  <si>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 xml:space="preserve">931 01 02 00 00 05 0000 710  </t>
  </si>
  <si>
    <t>931 01 02 00 00 05 0000 810</t>
  </si>
  <si>
    <t>99 9 00 Д0100</t>
  </si>
  <si>
    <t>99 9 99 00000</t>
  </si>
  <si>
    <t>01 05 02 01 05 0000 510</t>
  </si>
  <si>
    <t>00</t>
  </si>
  <si>
    <t xml:space="preserve">Субсидии на финансовое обеспечение затрат в связи с производством, выполнением работ, оказанием услуг, порядком предосталения которых установлено требование о последующем подтверждении их использования в соответствии с условиями и целями предоставления </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</si>
  <si>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</si>
  <si>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 xml:space="preserve">Дополнительное образование </t>
  </si>
  <si>
    <t>Субсидии на иные цели</t>
  </si>
  <si>
    <t>Субсидия бюджетам муниципальных районов на поддержку отрасли культуры</t>
  </si>
  <si>
    <t>66 4 00 00000</t>
  </si>
  <si>
    <t>66 4 00 S2660</t>
  </si>
  <si>
    <t>66 2 00 00000</t>
  </si>
  <si>
    <t>99 9 00 73050</t>
  </si>
  <si>
    <t>99 3 00 73160</t>
  </si>
  <si>
    <t>99 1 00 91000</t>
  </si>
  <si>
    <t>99 1 00 91020</t>
  </si>
  <si>
    <t>99 9 00 00000</t>
  </si>
  <si>
    <t>66 3 00 54004</t>
  </si>
  <si>
    <t>99 6 00 00000</t>
  </si>
  <si>
    <t>99 3 00 00000</t>
  </si>
  <si>
    <t>99 2 00 00000</t>
  </si>
  <si>
    <t>33 0 00 10005</t>
  </si>
  <si>
    <t>99 6 00 Р0300</t>
  </si>
  <si>
    <t>12 0 00 11010</t>
  </si>
  <si>
    <t>99 3 00 73220</t>
  </si>
  <si>
    <t>99 3 00 73200</t>
  </si>
  <si>
    <t>99 3 00 73070</t>
  </si>
  <si>
    <t>99 3 00 73080</t>
  </si>
  <si>
    <t>12 0 00 95500</t>
  </si>
  <si>
    <t>55 0 00 13700</t>
  </si>
  <si>
    <t>02 0 00 30001</t>
  </si>
  <si>
    <t>80 0 00 83030</t>
  </si>
  <si>
    <t>11 2 00 07070</t>
  </si>
  <si>
    <t>99 2 00 83040</t>
  </si>
  <si>
    <t>71 2 00 20003</t>
  </si>
  <si>
    <t>80 0 00 83010</t>
  </si>
  <si>
    <t>80 0 00 83120</t>
  </si>
  <si>
    <t>99 5 00 85010</t>
  </si>
  <si>
    <t>11 0 00 40006</t>
  </si>
  <si>
    <t>99 9 00 S2200</t>
  </si>
  <si>
    <t>66 0 00 00000</t>
  </si>
  <si>
    <t>60 2 00 60007</t>
  </si>
  <si>
    <t>182 1 05 01000 02 0000 110</t>
  </si>
  <si>
    <t>Налог взимаемый по упрощеннойсистеме налогообложения</t>
  </si>
  <si>
    <t>План 2019 год</t>
  </si>
  <si>
    <t>План 2020 год</t>
  </si>
  <si>
    <t>Дотации бюджетам муниципальных районов на поддержку мер по обеспечению сбалансированности бюджетов</t>
  </si>
  <si>
    <t>99 9 00 Р0300</t>
  </si>
  <si>
    <t xml:space="preserve">Обеспечение профессиональной переподготовки, повышения квалификации глав муниципальных образований и муниципальных служащих </t>
  </si>
  <si>
    <t>Осуществление отдельного государственного полномочия  по отлову и содержанию безнадзорных домашних животных</t>
  </si>
  <si>
    <t>80 0 00 00000</t>
  </si>
  <si>
    <t>Дотация бюджетам муниципальных районов(городских округов) в целях стимулирования муниципальных образований за легализацию трудовых отношений, на 2018 год</t>
  </si>
  <si>
    <t>Субсидии бюджетам муниципальных районов (городских округов) на реализацию мероприятий по сокращению наркосырьевой базы, в том числе с применением химического способа уничтожения дикорастущей конопли на 2019-2020 годы</t>
  </si>
  <si>
    <t>99 9 00 51200</t>
  </si>
  <si>
    <t>На выравнивание уровня бюджетной обеспеченности субъектов Российской Федерации и муниципальных образований</t>
  </si>
  <si>
    <t>На выравнивание бюджетной обеспеченности   субъектов Российской Федерации и муниципальных образований</t>
  </si>
  <si>
    <t>Осуществление переданных отдельных государственных полномочий по поддержке сельскохозяйственного производства  органам местного самоуправления</t>
  </si>
  <si>
    <t>Осуществление переданных отдельных государственных полномочий  по отлову и содержанию безнадзорных домашних животных</t>
  </si>
  <si>
    <t>На повышение средней заработной платы работников муниципальных учреждений культуры</t>
  </si>
  <si>
    <t>Осуществление переданного  органам  местного самоуправления государственных  полномочий  по Закону  Республики Бурятия  от 8 июля 2008г № 394-IV «О наделении  органов  местного  самоуправления  муниципальных районов  и городских округов в Республике Бурятия отдельными  государственными полномочиями в области образования</t>
  </si>
  <si>
    <t>Осуществление переданного отдельного государственного полномочия  по отлову и содержанию безнадзорных домашних животных</t>
  </si>
  <si>
    <t>Выравнивание бюджетной обеспеченности   субъектов Российской Федерации и муниципальных образований</t>
  </si>
  <si>
    <t>Осуществление переданного органам  местного самоуправления государственных  полномочий  по Закону  Республики Бурятия  от 8 июля 2008г № 394-IV «О наделении  органов  местного  самоуправления  муниципальных районов  и городских округов в Республике Бурятия отдельными  государственными полномочиями в области образования</t>
  </si>
  <si>
    <t>СП Шарагольское</t>
  </si>
  <si>
    <t>12 0 00 00000</t>
  </si>
  <si>
    <t>934 1 11 05013 05 0000 120</t>
  </si>
  <si>
    <t>934 1 14 06013 05 0000 430</t>
  </si>
  <si>
    <t>Приложение 18</t>
  </si>
  <si>
    <t>Приложение 21</t>
  </si>
  <si>
    <t>Приложение 22</t>
  </si>
  <si>
    <t>Софинансирование из местного бюджета на развитие общественной инфраструктуры, капитальный ремонт, реконструкции, строительства объектов образования, физической культуры и спорта, культуры, дорожного хозяйственного жилищно-коммунального хозяйства</t>
  </si>
  <si>
    <t>12 0 00 S2310</t>
  </si>
  <si>
    <t>Софинансирование мероприятий по подготовке проектов межевания и проведение кадастровых работ в отношении земельных участков, выделяемых за счет земельных долей</t>
  </si>
  <si>
    <t>ТОС/Культура</t>
  </si>
  <si>
    <t>Налог взимаемый по упрощенной системе налогообложения</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</si>
  <si>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</si>
  <si>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</si>
  <si>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Налог, взимаемый с налогоплательщиков, выбравших в качестве объекта налогообложения доходы</t>
  </si>
  <si>
    <t>1 05 01011 01 0000 110</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</si>
  <si>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</si>
  <si>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</si>
  <si>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</si>
  <si>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1 05 01050 01 0000 110</t>
  </si>
  <si>
    <t xml:space="preserve">сумма дотации распределеная на 1 этапе </t>
  </si>
  <si>
    <t>Расходы на выплаты персоналу казенных учреждений</t>
  </si>
  <si>
    <t>11 1 00 L4970</t>
  </si>
  <si>
    <t xml:space="preserve">11 0 00 00000 </t>
  </si>
  <si>
    <t>Софинансирование из местного бюджета на реализацию первоочередных мероприятий по модернизации, капитальному ремонту и подготовке к отопительному сезону объектов коммунальной структуры, находящихся в муниципальной собственности</t>
  </si>
  <si>
    <t>Коммунальное хозяйство</t>
  </si>
  <si>
    <t>11 0 00 00000</t>
  </si>
  <si>
    <t>15 0 00 95600</t>
  </si>
  <si>
    <t xml:space="preserve">Субсидии бюджетам муниципальных районов (городских округов) на содержание инструкторов по физической культуре и спорту </t>
  </si>
  <si>
    <t xml:space="preserve">Субсидии  бюджетам муниципальных районов (городских округов) на увеличение фондов оплаты труда педагогических работников муниципальных учреждений дополнительного образования </t>
  </si>
  <si>
    <t xml:space="preserve">Субвенции бюджетам муниципальных районов на составление (изменение и дополнение) списков кандидатов в присяжные заседатели судов общей юрисдикции в Российской Федерации </t>
  </si>
  <si>
    <t xml:space="preserve"> Субвенция местным бюджетам на выплату вознаграждения за выполнение функций классного руководителя педагогическим работникам муниципальных образовательных организаций, реализующих образовательные программы начального  общего, основного общего, среднего общего образования </t>
  </si>
  <si>
    <t xml:space="preserve">Субвенции на осуществление и администрирование отдельного государственного полномочия по поддержке сельскохозяйственного производства </t>
  </si>
  <si>
    <t xml:space="preserve">Субвенция бюджетам муниципальных районов на осуществление государственных полномочий по расчету и предоставлению дотаций поселениям </t>
  </si>
  <si>
    <t xml:space="preserve">Субвенции местным бюджетам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(кроме железнодорожного транспорта) </t>
  </si>
  <si>
    <t xml:space="preserve">Субвенции местным бюджетам на осуществление отдельного государственного полномочия  по отлову и содержанию безнадзорных домашних животных </t>
  </si>
  <si>
    <t xml:space="preserve">Субвенции местным бюджетам на администрирование отдельного государственного полномочия  по отлову и содержанию безнадзорных домашних животных </t>
  </si>
  <si>
    <t xml:space="preserve">Субвенции бюджетам на осуществление государственных полномочий по созданию и организации деятельности административных комиссий </t>
  </si>
  <si>
    <t xml:space="preserve">Субвенции местным бюджетам на осуществление государственных полномочий по образованию и  организации деятельности комиссий по делам несовершеннолетних и защите их прав в Республике Бурятия </t>
  </si>
  <si>
    <t xml:space="preserve">Субвенции местным бюджетам на осуществление отдельных государственных полномочий по уведомительной регистрации коллективных договоров </t>
  </si>
  <si>
    <t xml:space="preserve">Субвенции местным бюджетам на осуществление государственных полномочий по хранению, комплектованию, учету и использованию архивного фонда Республики Бурятия </t>
  </si>
  <si>
    <t>Субвенция местным бюджетам на осуществление государственных полномочий по организации и осуществлению деятельности по опеке и попечительству в Республике Бурятия</t>
  </si>
  <si>
    <t xml:space="preserve">Субвенции местным бюджетам на финансовое обеспечение получения начального общего, основного общего, среднего общего образования в муниципальных общеобразовательных организациях, дополнительного образования детей в муниципальных общеобразовательных организациях </t>
  </si>
  <si>
    <t xml:space="preserve">Субвенции местным бюджетам на финансовое обеспечение получения дошкольного образования в муниципальных образовательных организациях </t>
  </si>
  <si>
    <t xml:space="preserve">Субвенции местным бюджетам на обеспечение прав детей, находящихся в трудной  жизненной  ситуации, на отдых и оздоровление </t>
  </si>
  <si>
    <t xml:space="preserve">Субвенции местным бюджетам на обеспечение прав детей, находящихся в трудной  жизненной  ситуации, на организацию деятельности </t>
  </si>
  <si>
    <t xml:space="preserve">Субвенции местным бюджетам на организацию и обеспечение отдыха и оздоровления детей в загородных стационарных детских оздоровительных лагерях, оздоровительных лагерях с дневным пребыванием и иных детских лагерях сезонного действия (за исключением загородных стационарных детских оздоровительных лагерей), за исключением организации отдыха детей в каникулярное время и обеспечения прав детей, находящихся в трудной жизненной ситуации, на отдых и оздоровление </t>
  </si>
  <si>
    <t>934 1 11 05013 10 0000 120</t>
  </si>
  <si>
    <t>934 1 14 06013 10 0000 430</t>
  </si>
  <si>
    <t>Распределение бюджетных ассигнований по разделам, подразделам, целевым статьям, группам и подгруппам видов расходов классификации расходов бюджетов на 2020 и 2021 годы</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</si>
  <si>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</si>
  <si>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</si>
  <si>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ИТОГО</t>
  </si>
  <si>
    <t xml:space="preserve">Бюджетам муниципальных районов на составление (изменение и дополнение) списков кандидатов в присяжные заседатели судов общей юрисдикции в Российской Федерации </t>
  </si>
  <si>
    <t>2 02 15001 05 0000 150</t>
  </si>
  <si>
    <t>2 02 15002 05 0000 150</t>
  </si>
  <si>
    <t>2 02 19999 05 0000 150</t>
  </si>
  <si>
    <t>2 02 29999 05 0000 150</t>
  </si>
  <si>
    <t>2 02 30024 05 0000 150</t>
  </si>
  <si>
    <t>2 02 40014 05 0000 150</t>
  </si>
  <si>
    <t>2 18 60010 05 0000 150</t>
  </si>
  <si>
    <t>2 19 60010 05 0000 150</t>
  </si>
  <si>
    <t>937</t>
  </si>
  <si>
    <t>МКУ "Комитет по развитию инфраструктуры Администрации МО "Кяхтинский район" РБ</t>
  </si>
  <si>
    <t>2 02 49999 05 0000 150</t>
  </si>
  <si>
    <t>Субсидии бюджетам муниципальных районов на реализацию программ формирования современной городской среды</t>
  </si>
  <si>
    <t>2 02 25555 05 0000 150</t>
  </si>
  <si>
    <t>2 02 25497 05 0000 150</t>
  </si>
  <si>
    <t>Субсидии бюджетам муниципальных районов на реализацию мероприятий по обеспечению жильем молодых семей</t>
  </si>
  <si>
    <t>2 02 25519 05 0000 150</t>
  </si>
  <si>
    <t>2 02 35120 05 0000 150</t>
  </si>
  <si>
    <t>2 02 45160 05 0000 150</t>
  </si>
  <si>
    <t>2 07 05030 05 0000 150</t>
  </si>
  <si>
    <t>2 02 27112 05 0000 150</t>
  </si>
  <si>
    <t>Субсидии бюджетам муниципальных районов на софинансирование капитальных вложений в объекты муниципальной собственности</t>
  </si>
  <si>
    <t>2 02 25027 05 0000 150</t>
  </si>
  <si>
    <t>2 02 25097 05 0000 150</t>
  </si>
  <si>
    <t>2 02 25520 05 0000 150</t>
  </si>
  <si>
    <t>2 02 30021 05 0000 150</t>
  </si>
  <si>
    <t>2 02 39999 05 0000 150</t>
  </si>
  <si>
    <t>МУНИЦИПАЛЬНОЕ КАЗЕННОЕ  УЧРЕЖДЕНИЕ "КОМИТЕТ ПО РАЗВИТИЮ ИНФРАСТРУКТУРЫ" АДМИНИСТРАЦИИ МУНИЦИПАЛЬНОГО ОБРАЗОВАНИЯ  «КЯХТИНСКИЙ РАЙОН» РЕСПУБЛИКИ БУРЯТИЯ</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</si>
  <si>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</si>
  <si>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</si>
  <si>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ИТОГО:</t>
  </si>
  <si>
    <t>711F255550</t>
  </si>
  <si>
    <t>Направление гарантирования</t>
  </si>
  <si>
    <t>Наименование принципала</t>
  </si>
  <si>
    <t>Общий объем предоставляемых гарантий</t>
  </si>
  <si>
    <t>Наличие права регрессного требования</t>
  </si>
  <si>
    <t>Обеспечение исполнения обязательств принципала по удовлетворению регрессных требований гаранта</t>
  </si>
  <si>
    <t>Анализ финансового состояния принципала</t>
  </si>
  <si>
    <t>Иные условия предоставления и исполнения муниципальных гарантий</t>
  </si>
  <si>
    <t>Исполнение муниципальных гарантий МО "Кяхтинский район"</t>
  </si>
  <si>
    <t>За счет источников финансирования дефицита местного бюджета</t>
  </si>
  <si>
    <t>За счет расходов местного бюджета</t>
  </si>
  <si>
    <t>-</t>
  </si>
  <si>
    <t>Приложение 23</t>
  </si>
  <si>
    <t>2 19 60000 05 0000 150</t>
  </si>
  <si>
    <t>2 18 60000 05 0000 150</t>
  </si>
  <si>
    <t>2 02 45505 05 0000 150</t>
  </si>
  <si>
    <t>2 18 05010 05 0000 150</t>
  </si>
  <si>
    <t>2 18 05020 05 0000 150</t>
  </si>
  <si>
    <t>2 02 25466 05 0000 150</t>
  </si>
  <si>
    <t>2 02 45454 05 0000 150</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</si>
  <si>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</si>
  <si>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автономными учреждениями остатков субсидий прошлых лет</t>
  </si>
  <si>
    <t>Субсидии бюджетам муниципальных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</si>
  <si>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Межбюджетные трансферты, передаваемые бюджетам муниципальных районов на создание модельных муниципальных библиотек</t>
  </si>
  <si>
    <t>2 02 45424 05 0000 150</t>
  </si>
  <si>
    <t>Межбюджетные трансферты, передаваемые бюджетам муниципальных районов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</si>
  <si>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</si>
  <si>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Софинансирование из местного бюджета на повышение средней заработной платы работников муниципальных учреждений</t>
  </si>
  <si>
    <t>Софинансирование из местного бюджета на повышение средней заработной платы педагогических работников муниципальных учреждений дополнительного образования отрасли "Культура" на 2014 год в целях выполнения Указа Президента Российской Федерации от 1 июня 2012 года №761 "О Национальной стратегии действий в интересах детей на 2012-2017 годы"</t>
  </si>
  <si>
    <t>80 0 00 S2270</t>
  </si>
  <si>
    <t>Софинансирование из местного бюджета на увеличение фонда оплаты труда педагогических работников муниципальных  учреждений дополнительного образования</t>
  </si>
  <si>
    <t>99 9 00 S2160</t>
  </si>
  <si>
    <t>12000S2310</t>
  </si>
  <si>
    <t>350</t>
  </si>
  <si>
    <t>Премии и гранты</t>
  </si>
  <si>
    <t xml:space="preserve">Софинансирование из местного бюджета на обеспечение профессиональной переподготовки, повышения квалификации глав муниципальных образований и муниципальных служащих </t>
  </si>
  <si>
    <t>Осуществление мероприятий по обеспечению деятельности по охране правопорядка и общественной безопасности</t>
  </si>
  <si>
    <t>Софинансирование из местного бюджета на осуществление мероприятий по обеспечению деятельности по охране правопорядка и общественной безопасности</t>
  </si>
  <si>
    <t>Бюджетам муниципальных районов на обеспечение муниципальных дошкольных и общеобразовательных организаций педагогическими работниками</t>
  </si>
  <si>
    <t>Софинансирование из местного бюджета бюджетам муниципальных районов на обеспечение муниципальных дошкольных и общеобразовательных организаций педагогическими работниками</t>
  </si>
  <si>
    <t xml:space="preserve">Местным бюджетам на организацию и обеспечение отдыха и оздоровления детей в загородных стационарных детских оздоровительных лагерях, оздоровительных лагерях с дневным пребыванием и иных детских лагерях сезонного действия(за исключением загородных стационарных детских оздоровительных лагерей), за исключением организации отдыха детей в каникулярное время и обеспечения прав детей, находящихся в трудной жизненной ситуации, на отдых и оздоровление. </t>
  </si>
  <si>
    <t>Местным бюджетам на финансовое обеспечение получения начального общего, основного общего, среднего общего образования в муниципальных общеобразовательных организациях, дополнительного образования детей в муниципальных общеобразовательных организациях</t>
  </si>
  <si>
    <t>Субсидии бюджетам муниципальных районов на проведение кадастровых работ по формированию земельных участков для реализации Закона Республики Бурятия от 16.10.2002 № 115-III "О бесплатном предоставлении в собственность земельных участков, находящихся в государственной и муниципальной собственности"</t>
  </si>
  <si>
    <t xml:space="preserve">Субсидии бюджетам муниципальных районов (городских округов) на повышение средней заработной платы работников муниципальных учреждений культуры </t>
  </si>
  <si>
    <t>Субсидии бюджетам муниципальных районов (городских округов) на повышение средней заработной платы педагогических работников муниципальных учреждений дополнительного образования отрасли "Культура" в целях выполнения Указа Президента Российской Федерации от 1 июня 2012 года N 761 "О Национальной стратегии действий в интересах детей на 2012 - 2017 годы"</t>
  </si>
  <si>
    <t>Субсидии бюджетам муниципальных районов на реализацию мероприятий по обеспечению деятельности по охране правопорядка и общественной безопасности</t>
  </si>
  <si>
    <t>Субсидии бюджетам муниципальных районов (городских округов) на обеспечение муниципальных дошкольных и общеобразовательных организаций педагогическим работникам</t>
  </si>
  <si>
    <t xml:space="preserve">Субвенции местным бюджетам на администрирование передаваемых органам местного самоуправления государственных полномочий организации и обеспечению отдыха и оздоровления детей </t>
  </si>
  <si>
    <t xml:space="preserve">Дотация на выравнивание бюджетной обеспеченности муниципальных районов (городских округов) из республиканского бюджета  </t>
  </si>
  <si>
    <t xml:space="preserve">Субсидия бюджетам муниципальных районов,  городских округов на дорожную деятельность в отношении автомобильных дорог общего пользования местного значения </t>
  </si>
  <si>
    <t xml:space="preserve">Субсидия бюджетам муниципальных районов (городских округов) на повышение средней заработной платы педагогических работников муниципальных учреждений дополнительного образования отрасли "Культура" в целях выполнения Указа Президента Российской Федерации от 1 июня 2012 года N 761 "О Национальной стратегии действий в интересах детей на 2012 - 2017 годы" </t>
  </si>
  <si>
    <t>Субсидия бюджетам муниципальных образований на обеспечение профессиональной переподготовки, повышение квалификации глав муниципальных образований и муниципальных служащих</t>
  </si>
  <si>
    <t xml:space="preserve">Субвенция местным бюджетам на осуществление государственных полномочий по организации и осуществлению деятельности по опеке и попечительству в Республике Бурятия </t>
  </si>
  <si>
    <t xml:space="preserve">Субвенции на осуществление государственных полномочий по хранению, комплектованию, учету и использованию архивного фонда Республики Бурятия </t>
  </si>
  <si>
    <t>Субвенции местным бюджетам на осуществление государственных полномочий по образованию и  организации деятельности комиссий по делам несовершеннолетних и защите их прав в Республике Бурятия</t>
  </si>
  <si>
    <t xml:space="preserve">Субвенции местным бюджетам на осуществление и администрирование отдельного государственного полномочия по поддержке сельскохозяйственного производства </t>
  </si>
  <si>
    <t>Субвенции местным бюджетам на администрирование отдельного государственного полномочия  по отлову и содержанию безнадзорных домашних животных</t>
  </si>
  <si>
    <t xml:space="preserve">Субвенции местным бюджетам на администрирование передаваемых органам местного самоуправления государственных полномочий по организации и обеспечению отдыха и оздоровления детей </t>
  </si>
  <si>
    <t>Муниципальная программа "Управление муниципальными финансами в МО "Кяхтинский район" на 2020-2022 годы"</t>
  </si>
  <si>
    <t>Муниципальная программа "Развитие образования в муниципальном образовании "Кяхтинский район на 2020-2022 г.г."</t>
  </si>
  <si>
    <t>Муниципальная программа "Развитие образования в муниципальном образовании "Кяхтинский район на 2020 -2022 г.г."</t>
  </si>
  <si>
    <t xml:space="preserve">Дотация на выравнивание бюджетной обеспеченности муниципальных районов (городских округов) из Республиканского фонда финансовой поддержки </t>
  </si>
  <si>
    <t xml:space="preserve">Субсидии бюджетам муниципальных образований на обеспечение профессиональной переподготовки, повышение квалификации лиц, замещающих выборные муниципальные должности и муниципальных служащих </t>
  </si>
  <si>
    <t xml:space="preserve">Субсидии бюджетам муниципальных образований на реализацию мероприятий по обеспечению жильем молодых семей </t>
  </si>
  <si>
    <t>Субсидии муниципальным учреждениям, реализующим программы спортивной подготовки</t>
  </si>
  <si>
    <t xml:space="preserve">Субсидии бюджетам муниципальных районов (городских округов) на увеличение охвата детей дополнительным образованием </t>
  </si>
  <si>
    <t>Субсидия из республиканского бюджета бюджетам муниципальных районов и городских округов в Республике Бурятия на оплату труда обслуживающего персонала муниципальных общеобразовательных организаций</t>
  </si>
  <si>
    <t xml:space="preserve">Субсидии  муниципальным образованиям на строительство , реконструкцию и модернизацию систем теплоснабжения </t>
  </si>
  <si>
    <t xml:space="preserve">Бюджетам муниципальных образований на реализацию мероприятий по обеспечению жильем молодых семей </t>
  </si>
  <si>
    <t xml:space="preserve">Софинансирование из местного бюджета бюджетам муниципальных образований на реализацию мероприятий по обеспечению жильем молодых семей </t>
  </si>
  <si>
    <t>Муниципальным учреждениям, реализующим программы спортивной подготовки</t>
  </si>
  <si>
    <t xml:space="preserve"> Бюджетам муниципальных районов (городских округов) на увеличение охвата детей дополнительным образованием </t>
  </si>
  <si>
    <t>11 0 00 S2Е90</t>
  </si>
  <si>
    <t>Субсидии местным бюджетам на строительство и реконструкцию (модернизацию) объектов питьевого водоснабжения</t>
  </si>
  <si>
    <t>На строительство и реконструкцию (модернизацию) объектов питьевого водоснабжения</t>
  </si>
  <si>
    <t>625G552430</t>
  </si>
  <si>
    <t>ФБ-21168</t>
  </si>
  <si>
    <t>РБ 432</t>
  </si>
  <si>
    <t>Бюджетам муниципальных районов и городских округов в Республике Бурятия на оплату труда обслуживающего персонала муниципальных общеобразовательных организаций</t>
  </si>
  <si>
    <t>Бюджетные инвестиции в объекты капитального строительства государственной (муниципальной) собственности</t>
  </si>
  <si>
    <t xml:space="preserve">Субвенция местным бюджетам на предоставление мер социальной поддержки по оплате коммунальных услуг педагогическим работникам муниципальных дошкольных образовательных организаций, муниципальных образовательных организаций дополнительного образования, бывшим педагогическим работникам образовательных организаций, переведенным специалистам в организации, реализующие программы спортивной подготовки, специалистам организаций, реализующих программы спортивной подготовки, в соответствии с перечнем должностей, утвержденным органом государственной власти Республики Бурятия в области физической культуры и спорта, специалистам муниципальных учреждений культуры,проживающим, работающим в сельских населенных пунктах, рабочих поселках (поселках городского типа) на территории Республики Бурятия </t>
  </si>
  <si>
    <t xml:space="preserve">На предоставление мер социальной поддержки по оплате коммунальных услуг педагогическим работникам муниципальных дошкольных образовательных организаций, муниципальных образовательных организаций дополнительного образования, бывшим педагогическим работникам образовательных организаций, переведенным специалистам в организации, реализующие программы спортивной подготовки, специалистам организаций, реализующих программы спортивной подготовки, в соответствии с перечнем должностей, утвержденным органом государственной власти Республики Бурятия в области физической культуры и спорта, специалистам муниципальных учреждений культуры,проживающим, работающим в сельских населенных пунктах, рабочих поселках (поселках городского типа) на территории Республики Бурятия </t>
  </si>
  <si>
    <t>Софинансирование из местного бюджета муниципальным учреждениям, реализующим программы спортивной подготовки</t>
  </si>
  <si>
    <t>Приложение 24</t>
  </si>
  <si>
    <t>Софинансирование из местного бюджета бюджетам муниципальных районов и городских округов в Республике Бурятия на оплату труда обслуживающего персонала муниципальных общеобразовательных организаций</t>
  </si>
  <si>
    <t>113</t>
  </si>
  <si>
    <t>Иные выплаты, за исключением фонда оплаты труда учреждений , лицам, привлекаемым согласно законодательству для выполнения отдельных полномочий</t>
  </si>
  <si>
    <t>80 0 00 S2340</t>
  </si>
  <si>
    <t xml:space="preserve">Субсидии на финансовое обеспечение затрат в связи с производством, выполнением работ, оказанием услуг, порядком предоставления которых установлено требование о последующем подтверждении их использования в соответствии с условиями и целями предоставления </t>
  </si>
  <si>
    <t xml:space="preserve">Софинансирование из местного бюджета бюджетам муниципальных районов (городских округов) на увеличение охвата детей дополнительным образованием </t>
  </si>
  <si>
    <t>Спорт высших достижений</t>
  </si>
  <si>
    <t xml:space="preserve">Софинансирование из местного бюджета местным бюджетам на организацию и обеспечение отдыха и оздоровления детей в загородных стационарных детских оздоровительных лагерях, оздоровительных лагерях с дневным пребыванием и иных детских лагерях сезонного действия(за исключением загородных стационарных детских оздоровительных лагерей), за исключением организации отдыха детей в каникулярное время и обеспечения прав детей, находящихся в трудной жизненной ситуации, на отдых и оздоровление. </t>
  </si>
  <si>
    <t>2 02 25467 05 0000 150</t>
  </si>
  <si>
    <t>15 0 00 00000</t>
  </si>
  <si>
    <t xml:space="preserve">2 02 25519 05 0000 150 </t>
  </si>
  <si>
    <t>Субсидии на поддержку отрасли культура</t>
  </si>
  <si>
    <t>Субсидия бюджетам муниципальных образований на капитальный ремонт муниципальных общеобразовательных организаций на 2020 год</t>
  </si>
  <si>
    <t>Консолидированные субсидии на реализацию первоочередных мероприятий по модернизации, капитальному ремонту и подготовке к отопительному сезону объектов коммунальной инфраструктуры, находящихся в муниципальной собственности</t>
  </si>
  <si>
    <t>Финансовая поддержка ТОС посредсвом республиканского конкурса "Лучшее территориальное общественное самоуправление"</t>
  </si>
  <si>
    <t>На реализацию первоочередных мероприятий по модернизации, капитальному ремонту и подготовке к отопительному сезону объектов коммунальной инфраструктуры, находящихся в муниципальной собственности</t>
  </si>
  <si>
    <t>Муниципальная программа «Комплексное развитие сельских территорий МО "Кяхтинского район» на 2020-2022 годы»</t>
  </si>
  <si>
    <t>Субсидии бюджетам муниципальных образований на реализацию мероприятий по благоустройству сельских территорий Государственной программы Республики Бурятия "Комплексное развитие сельских территорий Республики Бурятия".</t>
  </si>
  <si>
    <t>Софинансирование из местного бюджета бюджетам муниципальных образований на реализацию мероприятия по благоустройству сельских территорий Государственной программы Республики Бурятия "Комплексное развитие сельских территорий Республики Бурятия".</t>
  </si>
  <si>
    <t>2 02 25576 05 0000 150</t>
  </si>
  <si>
    <t>на 2021 год и на плановый период 2022 и 2023 годов»</t>
  </si>
  <si>
    <t xml:space="preserve">Субсидии бюджетам муниципальных образований на развитие общественной инфраструктуры, капитальный ремонт, реконструкция, строительство объектов образования, физической культуры и спорта, культуры, дорожного хозяйства, жилищно-коммунального хозяйства </t>
  </si>
  <si>
    <t>Субсидии бюджетам муниципальных районов, городских округов на дорожную деятельность в отношении автомобильных дорог общего пользования местного значения</t>
  </si>
  <si>
    <t>Субсидии бюджетам муниципальных районов на мероприятия по обеспечению деятельности по охране правопорядка и общественной безопасности</t>
  </si>
  <si>
    <t xml:space="preserve">Субсидия бюджетам муниципальных районов (городских округов) на организацию бесплатного горячего питания обучающихся,получающих начальное общее образование в муниципальных образовательных организациях </t>
  </si>
  <si>
    <t>Субсидии бюджетам муниципальных районов (городских округов) на обеспечение муниципальных дошкольных и общеобразовательных организаций педагогическими работниками</t>
  </si>
  <si>
    <t>Субсидии бюджетам муниципальных районов (городских округов) на софинансирование расходных обязательств муниципальных районов (городских округов) на содержание и обеспечение деятельности (оказание услуг) муниципальных учреждений</t>
  </si>
  <si>
    <t>Субсидии бюджетам муниципальных образований на софинансирование мероприятий по строительству, реконструкции объектов дошкольного образования</t>
  </si>
  <si>
    <t>Субсидия из республиканского бюджета бюджетам муниципальных районов и городских округов в Республике Бурятия на оплату труда обслуживающего персонала муниципальных общеобразовательных организаций, а также на оплату услуг сторонним организациям за выполнение работ(оказание услуг)</t>
  </si>
  <si>
    <t>Иные межбюджетные трансферты на ежемесячное денежное вознаграждение за классное руководство педагогичеким работникам государственных и муниципальных общеобразовательных учреждений</t>
  </si>
  <si>
    <t>2 02 45303 05 0000 150</t>
  </si>
  <si>
    <t>ФБ 10839,4 РБ 221,2</t>
  </si>
  <si>
    <t>Субсидии бюджетам муниципальных образований на развитие транспортной инфраструктуры на сельских территориях</t>
  </si>
  <si>
    <t>Субвенции местным бюджетам на администрирование передаваемых органам местного самоуправления государственных полномочий по Закону Республики Бурятия от 8 июля 2008 года N 394-IV "О наделении органов местного самоуправления муниципальных районов и городских округов в Республике Бурятия отдельными государственными полномочиями в области образования"</t>
  </si>
  <si>
    <t>15 0 00 S2140</t>
  </si>
  <si>
    <t>15 0 00 S2980</t>
  </si>
  <si>
    <t>Бюджетам муниципальных районов, городских округов на дорожную деятельность в отношении автомобильных дорог общего пользования местного значени</t>
  </si>
  <si>
    <t>14 9 00 00140</t>
  </si>
  <si>
    <t>Муниципальная программа"Повышение безопасности дорожного движения  Кяхтинского района на 2020-2022 годы"</t>
  </si>
  <si>
    <t>06 000Д0100</t>
  </si>
  <si>
    <t>Местным бюджетам на организацию бесплатного горячего питания обучающихся, получающих начальное общее образование в муниципальных образовательных организациях</t>
  </si>
  <si>
    <t>Бюджетам муниципальных образований на организацию горячего питания обучающихся, получающих основное общее, среднее общее образование в муниципальных образовательных организациях</t>
  </si>
  <si>
    <t>Софинансирование из местного бюджета бюджетам муниципальных образований на организацию горячего питания обучающихся, получающих основное общее, среднее общее образование в муниципальных образовательных организациях</t>
  </si>
  <si>
    <t>На ежемесячное денежное вознаграждение за классное руководство педагогичеким работникам государственных и муниципальных общеобразовательных учреждений</t>
  </si>
  <si>
    <t>5120153030</t>
  </si>
  <si>
    <t>Бюджетам муниципальных образований на приобретение объектов недвижимого имущества в муниципальную собственность в отрасли образование</t>
  </si>
  <si>
    <t>Бюджетам муниципальных образований на софинасирование мероприятий по строительству , реконструкции объектов дошкольного образования</t>
  </si>
  <si>
    <t>99 9 00 88020</t>
  </si>
  <si>
    <t>МП "Укрепление общественного здоровья населения в Кяхтинском районе Республики Бурятия на 2020-2022 годы"</t>
  </si>
  <si>
    <t>Муниципальная программа "Укрепление общественного здоровья населения в Кяхтинском районе Республики Бурятия на 2020-2022 годы"</t>
  </si>
  <si>
    <t>бюджетные инвестиции</t>
  </si>
  <si>
    <t>5110272И90</t>
  </si>
  <si>
    <t>5120272Л30</t>
  </si>
  <si>
    <t>Муниципальная программа "Энергосбережение и повышение энергетической эффективности в муниципальном образовании "Кяхтинский район" на 2021-2023 годы»</t>
  </si>
  <si>
    <t>Муниципальная программа " Молодежь Кяхтинского района" на 2021-2023 годы</t>
  </si>
  <si>
    <t xml:space="preserve">Подпрограмма «Оказание молодым семьям и молодым специалистам государственной поддержки для улучшения жилищных условий» на 2021 - 2023 годы </t>
  </si>
  <si>
    <t xml:space="preserve">Подпрограмма "Мероприятия по молодежной политике"на 2021-2023 годы </t>
  </si>
  <si>
    <t xml:space="preserve">Муниципальная программа "Развитие отрасли "Культура" МО "Кяхтинский район" на 2021-2023 гг." </t>
  </si>
  <si>
    <t>Муниципальная программа "Совершенствование муниципального управления в муниципальном образовании  "Кяхтинский район"на 2021-2023 годы "</t>
  </si>
  <si>
    <t>Подпрограмма "Развитие территориального общественного самоуправления в МО "Кяхтинский район" на 2021-2023 годы"</t>
  </si>
  <si>
    <t>Подпрограмма "Профилактика преступлений и иных правонарушений в Кяхтинском районе Республики Бурятия на 2021-2023 г"</t>
  </si>
  <si>
    <t xml:space="preserve">Муниципальная программа "Безопасность жизнедеятельности в МО "Кяхтинский район" на 2021-2023годы" </t>
  </si>
  <si>
    <t>Муниципальная программа "Развитие физической культуры и спорта в МО "Кяхтинский район" на 2021-2023 годы "</t>
  </si>
  <si>
    <t>Муниципальная программа "Организация общественных и временных работ в МО " Кяхтинский район"  на 2021-2023гг"</t>
  </si>
  <si>
    <t>99900 83010</t>
  </si>
  <si>
    <t>999 00 73020</t>
  </si>
  <si>
    <t>99900 S2К90</t>
  </si>
  <si>
    <t>99900S2В40</t>
  </si>
  <si>
    <t xml:space="preserve">Местным бюджетам на обеспечение прав детей, находящихся в трудной жизненной ситуации, на отдых и оздоровление </t>
  </si>
  <si>
    <t>Субвенции местным бюджетам на обеспечение прав детей находящихся в трудной жизненной ситуации, на организацию деятельности</t>
  </si>
  <si>
    <t>99000 00000</t>
  </si>
  <si>
    <t>Бюджетам муниципальных районов(городских округов) на софинансирование расходных обязательств муниципальных районов(городских округов) на содержание и обеспечение деятельности(оказание услуг) муниципальных учреждений</t>
  </si>
  <si>
    <t>Софинансирование из местного бюджета бюджетам муниципальных районов(городских округов) на софинансирование расходных обязательств муниципальных районов(городских округов) на содержание и обеспечение деятельности(оказание услуг) муниципальных учреждений</t>
  </si>
  <si>
    <t>ФБ 34568,1</t>
  </si>
  <si>
    <t>2023 год</t>
  </si>
  <si>
    <t>934,936</t>
  </si>
  <si>
    <t xml:space="preserve">На обеспечение профессиональной переподготовки, повышения квалификации глав муниципальных образований и муниципальных служащих </t>
  </si>
  <si>
    <t>Муниципальная программа "Развитие отрасли "Культура" МО "Кяхтинский район" на 2021-2023 гг.</t>
  </si>
  <si>
    <t>999 00 73140</t>
  </si>
  <si>
    <t>999 00 73190</t>
  </si>
  <si>
    <t>999 00 83040</t>
  </si>
  <si>
    <t xml:space="preserve">Иные межбюджетные трансферты поселениям </t>
  </si>
  <si>
    <t>07 0 00 00000</t>
  </si>
  <si>
    <t>07 1 00 00000</t>
  </si>
  <si>
    <t xml:space="preserve">Оказание услуг по реализации общеобразовательных программ дошкольного образования (детские сады), в том числе на содержание имущества </t>
  </si>
  <si>
    <t>07 1 01 00000</t>
  </si>
  <si>
    <t>07 1 01 83010</t>
  </si>
  <si>
    <t>07 1 01 73020</t>
  </si>
  <si>
    <t>Оказание услуг по предоставлению общедоступного и бесплатного начального, общего, основного общего, среднего общего образования</t>
  </si>
  <si>
    <t>07000 00000</t>
  </si>
  <si>
    <t>07200 0000</t>
  </si>
  <si>
    <t>0720200000</t>
  </si>
  <si>
    <t>07202 83020</t>
  </si>
  <si>
    <t>07202 73020</t>
  </si>
  <si>
    <t>07202 73030</t>
  </si>
  <si>
    <t>07202 73040</t>
  </si>
  <si>
    <t>07202 S2К90</t>
  </si>
  <si>
    <t>07202S2В40</t>
  </si>
  <si>
    <t>07202 S2В40</t>
  </si>
  <si>
    <t>Оказание услуг по организации летнего отдыха, оздоровления и занятости детей и подростков</t>
  </si>
  <si>
    <t>07300 00000</t>
  </si>
  <si>
    <t>Оказание услуг по  реализации образовательных программ дополнительного образования, в том числе на содержание имущества</t>
  </si>
  <si>
    <t>07303 00000</t>
  </si>
  <si>
    <t>07303 S2120</t>
  </si>
  <si>
    <t>07303 83030</t>
  </si>
  <si>
    <t>07303 S2Е50</t>
  </si>
  <si>
    <t>07400 0000</t>
  </si>
  <si>
    <t>07404 00000</t>
  </si>
  <si>
    <t>07404 83040</t>
  </si>
  <si>
    <t>07404 73050</t>
  </si>
  <si>
    <t>07404 73140</t>
  </si>
  <si>
    <t>07404 73190</t>
  </si>
  <si>
    <t>07500 20003</t>
  </si>
  <si>
    <t>оказание услуг по организации подготовки и проведения государственной(итоговой) аттестации выпускников IX и XI(XII) классов.</t>
  </si>
  <si>
    <t>07505 20003</t>
  </si>
  <si>
    <t>Подпрограмма "Другие вопросы в области образования в муниципальном образовании «Кяхтинский район» на 2021 – 2022 г.г."</t>
  </si>
  <si>
    <t>Обеспечение деятельности  функционирования образовательных учреждений (аппарат управления, учебно-методические кабинеты, централизованные бухгалтерии)</t>
  </si>
  <si>
    <t>07600 00000</t>
  </si>
  <si>
    <t>07606 00000</t>
  </si>
  <si>
    <t>07606 91000</t>
  </si>
  <si>
    <t>07606 91020</t>
  </si>
  <si>
    <t>60  000 00000</t>
  </si>
  <si>
    <t>60 0 00 00000</t>
  </si>
  <si>
    <t xml:space="preserve">Иные межбюджетные трансферты на первоочередные расходы сельских и городских поселений </t>
  </si>
  <si>
    <t>60  001 00000</t>
  </si>
  <si>
    <t>60  001 60007</t>
  </si>
  <si>
    <t>60 002 60007</t>
  </si>
  <si>
    <t>60002 73090</t>
  </si>
  <si>
    <t>60002 00000</t>
  </si>
  <si>
    <t>33 0 00 00000</t>
  </si>
  <si>
    <t>12 0 00 0000</t>
  </si>
  <si>
    <t>06 000 00000</t>
  </si>
  <si>
    <t>55 0 00 00000</t>
  </si>
  <si>
    <t>Предоставление социальных выплат молодым семьям  на приобретение (строительство жилья)</t>
  </si>
  <si>
    <t>11 1 00 00000</t>
  </si>
  <si>
    <t>12 0 01 00000</t>
  </si>
  <si>
    <t>12 0 01 L5760</t>
  </si>
  <si>
    <t>30000 00000</t>
  </si>
  <si>
    <t>30004 00000</t>
  </si>
  <si>
    <t>30004 84600</t>
  </si>
  <si>
    <t>66 2 03 00000</t>
  </si>
  <si>
    <t>66 2 03 54003</t>
  </si>
  <si>
    <t>12001L5760</t>
  </si>
  <si>
    <t>Проведение выборов главы муниципального образования, депутатов представительного органа</t>
  </si>
  <si>
    <t>Комплексное развитие строительного и жилищно-коммунального комплекса, повышение качества жилищно-коммунальных услуг МО "Кяхтинский район"</t>
  </si>
  <si>
    <t>Повышение эффективности использования муниципального имущества и земель МО "Кяхтинский район", позволяющее максимизировать пополнение доходной части бюджета .</t>
  </si>
  <si>
    <t>07606 83040</t>
  </si>
  <si>
    <t>07606 73160</t>
  </si>
  <si>
    <t>07606 73060</t>
  </si>
  <si>
    <t>07606 S2160</t>
  </si>
  <si>
    <t>Повышение эффективности управления муниципальными финансами</t>
  </si>
  <si>
    <t>Предоставление межбюджетных трансфертов муниципальным образованиям</t>
  </si>
  <si>
    <t>Меропрития по повышению противопожарной защиты и соблюдению первичных мер пожарной безопасности</t>
  </si>
  <si>
    <t>Создание условий для производства продукции  в отраслях сельского хзяйства</t>
  </si>
  <si>
    <t>Улучшение инвестиционного климата</t>
  </si>
  <si>
    <t>Проведение профилактической работы среди населения по безопасности дорожного движения и создания условий для обеспечения дорожной деятельности в отношении автомобильных дорого местного значения в границах населенных пунктов поселений</t>
  </si>
  <si>
    <t>Мероприятия по профилактике преступления и иных правонарушений</t>
  </si>
  <si>
    <t xml:space="preserve">Улучшение развития деятельности по отрасли "Культура" </t>
  </si>
  <si>
    <t>Работа с детьми и молодежью Кяхтинского района</t>
  </si>
  <si>
    <t>Мероприятия по улучшению энергосбережения и повышение энергетической эффективности.</t>
  </si>
  <si>
    <t xml:space="preserve"> Привлечение жителей района к ведению здорового образа жизни</t>
  </si>
  <si>
    <t>Организация и проведение спортивно-массовых,  физкультурно-оздоровительных мероприятий</t>
  </si>
  <si>
    <t>Развитие территориальных общественных самоуправлений</t>
  </si>
  <si>
    <t>Мероприятия по организации общественных и временных работ</t>
  </si>
  <si>
    <t>Создание благоприятных , комфортных и безопасных условий проживания населения, развитие и обустройство мест массового отдыха населения</t>
  </si>
  <si>
    <t>Мероприятия по благоустройству сельских территорий</t>
  </si>
  <si>
    <t>60 0 01 00000</t>
  </si>
  <si>
    <t>07 1 01 73180</t>
  </si>
  <si>
    <t>07 2 02 83020</t>
  </si>
  <si>
    <t>07 2 02 00000</t>
  </si>
  <si>
    <t>07 2 00 0000</t>
  </si>
  <si>
    <t>07 2 02 73030</t>
  </si>
  <si>
    <t>07 2 02 73020</t>
  </si>
  <si>
    <t>07 2 02 73040</t>
  </si>
  <si>
    <t>07 2 02 S2890</t>
  </si>
  <si>
    <t>07 2 02 S2В40</t>
  </si>
  <si>
    <t>07 2 02 S2К90</t>
  </si>
  <si>
    <t>51201 53030</t>
  </si>
  <si>
    <t>07 3 03 83030</t>
  </si>
  <si>
    <t>07 3 03 S2Е50</t>
  </si>
  <si>
    <t>07 3 03 S2120</t>
  </si>
  <si>
    <t>07 3 03 73180</t>
  </si>
  <si>
    <t>07 4 04 83040</t>
  </si>
  <si>
    <t>07 4 04 73050</t>
  </si>
  <si>
    <t>07 4 04 73140</t>
  </si>
  <si>
    <t>07 4 04 73190</t>
  </si>
  <si>
    <t>07 5 05 20003</t>
  </si>
  <si>
    <t>07 5 00 20003</t>
  </si>
  <si>
    <t>075 05 20003</t>
  </si>
  <si>
    <t>07,10</t>
  </si>
  <si>
    <t>01,03</t>
  </si>
  <si>
    <t>06 0 00 00000</t>
  </si>
  <si>
    <t>30 0 04 84600</t>
  </si>
  <si>
    <t>07,08</t>
  </si>
  <si>
    <t xml:space="preserve">Развитие деятельности по отрасли "Культура"(в том числе содержание имущества). </t>
  </si>
  <si>
    <t>Мероприятия по профилактике преступления и иных правонврушений</t>
  </si>
  <si>
    <t>11 0 0 00000</t>
  </si>
  <si>
    <t>01,02,03</t>
  </si>
  <si>
    <t>04,10,14</t>
  </si>
  <si>
    <t>03,05</t>
  </si>
  <si>
    <t>999 00 73180</t>
  </si>
  <si>
    <t>999 00 00000</t>
  </si>
  <si>
    <t>Приложение 9</t>
  </si>
  <si>
    <t>Источники финансирования дефицита бюджета муниципального образования "Кяхтинский район" на 2022 и 2023 годы</t>
  </si>
  <si>
    <t>План 2023 год</t>
  </si>
  <si>
    <t>План на 2023 год (тыс.руб)</t>
  </si>
  <si>
    <t xml:space="preserve">от                     2020 года № </t>
  </si>
  <si>
    <t>Ведомственная структура расходов бюджета муниципального образования "Кяхтинский район" на 2022 и 2023 годы</t>
  </si>
  <si>
    <t xml:space="preserve">2023 год </t>
  </si>
  <si>
    <t>2023г</t>
  </si>
  <si>
    <t>2023 г.</t>
  </si>
  <si>
    <t>06 0 00 Д0200</t>
  </si>
  <si>
    <t>Муниципальная программа ""Безопасность жизнедеятельности в МО "Кяхтинский район" на 2021-2023 годы "</t>
  </si>
  <si>
    <t xml:space="preserve"> Подпрограмма "Обеспечение деятельности администрации МО "Кяхтинский район"</t>
  </si>
  <si>
    <t>Обеспечение  деятельности Администрации МО «Кяхтинский район( в том числе содержание имущества)</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</si>
  <si>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</si>
  <si>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</si>
  <si>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xml:space="preserve">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</si>
  <si>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</si>
  <si>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1 16 01053 00 0000 140</t>
  </si>
  <si>
    <t>1 16 01063 00 0000 140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</si>
  <si>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</si>
  <si>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1 16 01073 00 0000 140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</si>
  <si>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</si>
  <si>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1 16 01083 00 0000 140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</si>
  <si>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</si>
  <si>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1 16 01143 00 0000 140</t>
  </si>
  <si>
    <t>1 16  01153 00 0000 140</t>
  </si>
  <si>
    <t>1 16 01163 00 00000 140</t>
  </si>
  <si>
    <t>1 16 01173 00 00000 140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</si>
  <si>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</si>
  <si>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1 16 01193 00 0000 140</t>
  </si>
  <si>
    <t>1 16 01203 00 0000 140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</si>
  <si>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t>
  </si>
  <si>
    <t>1 16 10123 00 0000 140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</si>
  <si>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t>
  </si>
  <si>
    <t>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</si>
  <si>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</si>
  <si>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1 16 11050 00 0000 140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</si>
  <si>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</si>
  <si>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</si>
  <si>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1 16 07090 05 0000 140</t>
  </si>
  <si>
    <r>
      <t>Административные штрафы, установленные</t>
    </r>
    <r>
      <rPr>
        <b/>
        <sz val="9"/>
        <rFont val="Times New Roman"/>
        <family val="1"/>
        <charset val="204"/>
      </rPr>
      <t xml:space="preserve"> Главой 5</t>
    </r>
    <r>
      <rPr>
        <sz val="9"/>
        <rFont val="Times New Roman"/>
        <family val="1"/>
        <charset val="204"/>
      </rPr>
      <t xml:space="preserve">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r>
  </si>
  <si>
    <r>
      <t>Административные штрафы, установленные</t>
    </r>
    <r>
      <rPr>
        <b/>
        <sz val="9"/>
        <rFont val="Times New Roman"/>
        <family val="1"/>
        <charset val="204"/>
      </rPr>
      <t xml:space="preserve"> Главой 14</t>
    </r>
    <r>
      <rPr>
        <sz val="9"/>
        <rFont val="Times New Roman"/>
        <family val="1"/>
        <charset val="204"/>
      </rPr>
      <t xml:space="preserve">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t>
    </r>
  </si>
  <si>
    <r>
      <t>Административные штрафы, установленные</t>
    </r>
    <r>
      <rPr>
        <b/>
        <sz val="9"/>
        <rFont val="Times New Roman"/>
        <family val="1"/>
        <charset val="204"/>
      </rPr>
      <t xml:space="preserve"> Главой 15 </t>
    </r>
    <r>
      <rPr>
        <sz val="9"/>
        <rFont val="Times New Roman"/>
        <family val="1"/>
        <charset val="204"/>
      </rPr>
      <t>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r>
  </si>
  <si>
    <r>
      <t>Административные штрафы, установленные</t>
    </r>
    <r>
      <rPr>
        <b/>
        <sz val="9"/>
        <rFont val="Times New Roman"/>
        <family val="1"/>
        <charset val="204"/>
      </rPr>
      <t xml:space="preserve"> Главой 16</t>
    </r>
    <r>
      <rPr>
        <sz val="9"/>
        <rFont val="Times New Roman"/>
        <family val="1"/>
        <charset val="204"/>
      </rPr>
      <t xml:space="preserve">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t>
    </r>
  </si>
  <si>
    <r>
      <t xml:space="preserve">Административные штрафы, установленные </t>
    </r>
    <r>
      <rPr>
        <b/>
        <sz val="9"/>
        <rFont val="Times New Roman"/>
        <family val="1"/>
        <charset val="204"/>
      </rPr>
      <t>Главой 19</t>
    </r>
    <r>
      <rPr>
        <sz val="9"/>
        <rFont val="Times New Roman"/>
        <family val="1"/>
        <charset val="204"/>
      </rPr>
      <t xml:space="preserve">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t>
    </r>
  </si>
  <si>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</si>
  <si>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1 16 02020 00 0000 140</t>
  </si>
  <si>
    <t>0</t>
  </si>
  <si>
    <t xml:space="preserve">от                   2020года № </t>
  </si>
  <si>
    <t>от              2020года №</t>
  </si>
  <si>
    <t>07202 S2160</t>
  </si>
  <si>
    <t>Подпрограмма "Укрепление материально-технической базы и усиление комплексной безопасности образовательных учреждений на 2020-2022 годы"</t>
  </si>
  <si>
    <t>Укрепление материально-технической базы и мероприятия по комплексной безопасности образовательных учреждений</t>
  </si>
  <si>
    <t>Подпрограмма "Кадровое обеспечение системы образования на 2020-2022 годы"</t>
  </si>
  <si>
    <t xml:space="preserve">Обслуживание государственного и муниципального долга </t>
  </si>
  <si>
    <t>Обслуживание муниципального долга</t>
  </si>
  <si>
    <t>730</t>
  </si>
  <si>
    <t>0770783060</t>
  </si>
  <si>
    <t xml:space="preserve">07 7 00 0000 </t>
  </si>
  <si>
    <t>07 7 07 00000</t>
  </si>
  <si>
    <t>07 8 00 00000</t>
  </si>
  <si>
    <t>07 8 08 00000</t>
  </si>
  <si>
    <t xml:space="preserve">07 7 00 00000 </t>
  </si>
  <si>
    <t>07808S2890</t>
  </si>
  <si>
    <t>07 1 01 S2160</t>
  </si>
  <si>
    <t>07303 S2160</t>
  </si>
  <si>
    <t>07 8 0883070</t>
  </si>
  <si>
    <t>Организация проведения мероприятий  кадровой политики в сфере образования</t>
  </si>
  <si>
    <t>Мероприятия по укреплению материально-технической базы и  по комплексной безопасности  учреждений отрасли "Образование"</t>
  </si>
  <si>
    <t xml:space="preserve">Обслуживание государственного внутреннего и муниципального долга </t>
  </si>
  <si>
    <t>02,09</t>
  </si>
  <si>
    <t>073 03 83030</t>
  </si>
  <si>
    <t xml:space="preserve">Субсидии на мероприятия по организации бесплатного горячего питания обучающихся,получающих начальное общее образование в муниципальных образовательных организациях </t>
  </si>
  <si>
    <t xml:space="preserve"> Субсидии  на организацию горячего питания обучающихся, получающих основное общее, среднее общее образование в муниципальных образовательных организациях</t>
  </si>
  <si>
    <t>Субсидии на софинансирование расходных обязательств муниципальных районов (городских округов) на содержание и обеспечение деятельности (оказание услуг) муниципальных учреждений</t>
  </si>
  <si>
    <t xml:space="preserve">Субсидии на строительство и реконструкцию (модернизацию объектов питьевого водоснабжения </t>
  </si>
  <si>
    <t>Субсидии на приобретение объектов недвижимого имущества в муниципальную собтвенность в отрасли образование</t>
  </si>
  <si>
    <t xml:space="preserve">Субсидии  на реализацию мероприятий по сокращению наркосырьевой базы, в том числе с применением химического способа уничтожения дикорастущей конопли </t>
  </si>
  <si>
    <t xml:space="preserve">Субсидии на обеспечение компенсации питания родителям (законным представителям) обучающихся в муниципальных 
общеобразовательных организациях, имеющих статус обучающихся с ограниченными возможностями здоровья, обучение которых 
организовано на дому
</t>
  </si>
  <si>
    <t xml:space="preserve">Субвенции  на администрирование передаваемых органам местного самоуправления государственных полномочий по Закону Республики Бурятия от 8 июля 2008 года N 394-IV "О наделении органов местного самоуправления муниципальных районов и городских округов в Республике Бурятия отдельными государственными полномочиями в области образования" </t>
  </si>
  <si>
    <t xml:space="preserve">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(кроме железнодорожного транспорта) </t>
  </si>
  <si>
    <t xml:space="preserve">Субвенции на организацию и обеспечение отдыха и оздоровления детей в загородных стационарных детских оздоровительных лагерях, оздоровительных лагерях с дневным пребыванием и иных детских лагерях сезонного действия (за исключением загородных стационарных детских оздоровительных лагерей), за исключением организации отдыха детей в каникулярное время и обеспечения прав детей, находящихся в трудной жизненной ситуации, на отдых и оздоровление </t>
  </si>
  <si>
    <t xml:space="preserve">Иные межбюджетные трансферты на комплектование книжных фондов муниципальных библиотек </t>
  </si>
  <si>
    <t xml:space="preserve">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</si>
  <si>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11 0 00 73180</t>
  </si>
  <si>
    <t>На обеспечение компенсации питания родителям (законным представителям) обучающихся в муниципальных 
общеобразовательных организациях, имеющих статус обучающихся с ограниченными возможностями здоровья, обучение которых 
организовано на дому</t>
  </si>
  <si>
    <t>07202S2Л40</t>
  </si>
  <si>
    <t xml:space="preserve">На реализацию мероприятий по сокращению наркосырьевой базы, в том числе с применением химического способа уничтожения дикорастущей конопли </t>
  </si>
  <si>
    <t xml:space="preserve"> Софинансирование из местного бюджета на реализацию мероприятий по сокращению наркосырьевой базы, в том числе с применением химического способа уничтожения дикорастущей конопли </t>
  </si>
  <si>
    <t>66 4 00S2570</t>
  </si>
  <si>
    <t xml:space="preserve">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</si>
  <si>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</si>
  <si>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Софинансирование из местного бюджета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</si>
  <si>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51202L3040</t>
  </si>
  <si>
    <t xml:space="preserve">На строительство и реконструкцию (модернизацию объектов питьевого водоснабжения </t>
  </si>
  <si>
    <t>10,11</t>
  </si>
  <si>
    <t xml:space="preserve">На комплектование книжных фондов муниципальных библиотек </t>
  </si>
  <si>
    <t>Таблица 2.5</t>
  </si>
  <si>
    <t>Распределение иных межбюджетных трансфертов в рамках муниципальной программы «Комплексное развитие сельских территорий МО "Кяхтинского район» на 2020-2022 годы»</t>
  </si>
  <si>
    <t>Таблица 2.6</t>
  </si>
  <si>
    <t>Распределение иных межбюджетных трансфертов в рамках муниципальной программы « Организация общественных и временных работ в МО " Кяхтинский район"  на 2021-2023гг"</t>
  </si>
  <si>
    <t>999 00 83030</t>
  </si>
  <si>
    <t>999 00 S2120</t>
  </si>
  <si>
    <t>07202S2Л10</t>
  </si>
  <si>
    <t>07 2 02 S2Л10</t>
  </si>
  <si>
    <t>247</t>
  </si>
  <si>
    <t>Закупка энергетических ресурсов</t>
  </si>
  <si>
    <t>360</t>
  </si>
  <si>
    <t>Мероприятия по профилактике и борьбе с заразными болезнями общими для человека и животных</t>
  </si>
  <si>
    <t>Распределение иных межбюджетных трансфертов в рамках муниципальной программы « Повышение безопасности дорожного движения  Кяхтинского района на 2020-2022 годы"</t>
  </si>
  <si>
    <t>Распределение иных межбюджетных трансфертов бюджетам городских и сельских поселений МО "Кяхтинский район"  для реализации программ формирования современной городской среды</t>
  </si>
  <si>
    <t>Наименование  ГП СП</t>
  </si>
  <si>
    <t>сумма (тыс.руб)</t>
  </si>
  <si>
    <t>СП Хоронхойское</t>
  </si>
  <si>
    <t>Распределение софинансирования из местного бюджета иных межбюджетных трансфертов бюджетам городских и сельских поселений МО "Кяхтинский район"  для реализации программ формирования современной городской среды</t>
  </si>
  <si>
    <t xml:space="preserve">сумма </t>
  </si>
  <si>
    <t>Субсидии бюджетам муниципальных образований на благоустройство территорий, прилегающих к местам туристского показа в муниципальных образованиях в Республике Бурятия</t>
  </si>
  <si>
    <t>Осуществление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</si>
  <si>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Осуществление государственных полномочий Российской Федерации по проведению Всероссийской переписи населения 2020 года</t>
  </si>
  <si>
    <t xml:space="preserve">Возврат неиспользованных остатков иных межбюджетных трансфертов по переданным полномочиям на содержание автомобильных дорог общего пользования местного значения </t>
  </si>
  <si>
    <t>Возврат неиспользованных остатков субсидии на капитальный ремонт автодороги по ул.Старчака в г.Кяхта в Кяхтинском районе Республики Бурятия</t>
  </si>
  <si>
    <t>Возврат неиспользованных остатков межбюджетных трансфертов, передаваемые бюджетам муниципальных районов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</si>
  <si>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неиспользованных остатков субсидии местным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на 2020 год</t>
  </si>
  <si>
    <t xml:space="preserve">Возврат неиспользованных остатков субвенции местным бюджетам на выплату вознаграждения за выполнение функций классного руководителя педагогическим работникам муниципальных образовательных организаций, реализующих образовательные программы начального  общего, основного общего, среднего общего образования </t>
  </si>
  <si>
    <t>Возврат неиспользованных остатков субсидии из республиканского бюджета бюджетам муниципальных районов и городских округов в Республике Бурятия на оплату труда обслуживающего персонала муниципальных общеобразовательных организаций</t>
  </si>
  <si>
    <t xml:space="preserve">Возврат неиспользованных остатков субвенции местным бюджетам на предоставление мер социальной поддержки по оплате коммунальных услуг педагогическим работникам муниципальных дошкольных образовательных организаций, муниципальных образовательных организаций дополнительного образования, бывшим педагогическим работникам образовательных организаций, переведенным специалистам в организации, реализующие программы спортивной подготовки, специалистам организаций, реализующих программы спортивной подготовки, в соответствии с перечнем должностей, утвержденным органом государственной власти Республики Бурятия в области физической культуры и спорта, специалистам муниципальных учреждений культуры,проживающим, работающим в сельских населенных пунктах, рабочих поселках (поселках городского типа) на территории Республики Бурятия </t>
  </si>
  <si>
    <t>Возврат неиспользованных остатков субсидии бюджетам муниципальных районов(городских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на 2020 год</t>
  </si>
  <si>
    <t>Возврат неиспользованных остатков иных межбюджетных трансфертов на компенсацию выпадающих доходов местных бюджетов</t>
  </si>
  <si>
    <t>182 1 05 02000 02 0000 110</t>
  </si>
  <si>
    <t>Резервный фонд финансирования непредвиденных расходов Правительства Республики Бурятия</t>
  </si>
  <si>
    <t>Иные межбюджетные трансферты бюджетам муниципальных образований на реализацию мероприятий по благоустройству сельских территорий Государственной программы Республики Бурятия "Комплексное развитие сельских территорий Республики Бурятия".</t>
  </si>
  <si>
    <t>66 2 03 74030</t>
  </si>
  <si>
    <t>МП "Организация временной занятости несовершеннолетних граждан в возрасте от 14 до 18 лет в МО "Кяхтинский район" на 2021-2023 годы"</t>
  </si>
  <si>
    <t>Создание условий для успешной интеграции детей в возрасте от 14 до 18 лет в трудовую деятельность</t>
  </si>
  <si>
    <t>7000021003</t>
  </si>
  <si>
    <t>Расходы по организации мероприятий по кадровой политике в сфере «Образования</t>
  </si>
  <si>
    <t>931,934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</si>
  <si>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</si>
  <si>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территорий</t>
  </si>
  <si>
    <t>Софинансирование из местного бюджета на обеспечение компенсации питания родителям (законным представителям) обучающихся в муниципальных 
общеобразовательных организациях, имеющих статус обучающихся с ограниченными возможностями здоровья, обучение которых 
организовано на дому</t>
  </si>
  <si>
    <t>На софинансирование из местного бюджета на обеспечение компенсации питания родителям (законным представителям) обучающихся в муниципальных 
общеобразовательных организациях, имеющих статус обучающихся с ограниченными возможностями здоровья, обучение которых 
организовано на дому</t>
  </si>
  <si>
    <t>813</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</si>
  <si>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</si>
  <si>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Иные межбюджетные трансферты бюджетам муниципальных образований на оснащение муниципальных дошкольных организаций материалами, оборудованием и инвентарем для развития детей дошкольного возраста</t>
  </si>
  <si>
    <t>Проведение комплексных кадастровых работ</t>
  </si>
  <si>
    <t>Реализация мероприятий регионального проекта "Социальная активность"</t>
  </si>
  <si>
    <t>Софинансирование из местного бюджета на проведение комплексных кадастровых работ</t>
  </si>
  <si>
    <t>60 1 02 L5110</t>
  </si>
  <si>
    <t>11 2 00 00000</t>
  </si>
  <si>
    <t>11 2 01 83890</t>
  </si>
  <si>
    <t>Софинансирование из местного бюджета на реализацию мероприятий регионального проекта "Социальная активность"</t>
  </si>
  <si>
    <t>Бюджетам муниципальных образований на оснащение муниципальных дошкольных организаций материалами, оборудованием и инвентарем для развития детей дошкольного возраста</t>
  </si>
  <si>
    <t>07 1 01 74350</t>
  </si>
  <si>
    <t>5120174490</t>
  </si>
  <si>
    <t>Субсидии бюджетам муниципальных образований на подготовку и проведение празднования на федеральном уровне памятных дат субъектов Российской Федерации</t>
  </si>
  <si>
    <t>МП "Профилактика терроризма и экстремизма на территории Кяхтинского района Республики Бурятия на 2021-2023 годы"</t>
  </si>
  <si>
    <t>Субвенция на осуществление отдельного государственного полномочия на капитальный (текущий) ремонт и содержание сибиреязвенных захоронений и скотомогильников (биотермических ям)</t>
  </si>
  <si>
    <t>Администрирование отдельного государственного полномочия на капитальный (текущий) ремонт и содержание сибиреязвенных захоронений и скотомогильников (биотермических ям)</t>
  </si>
  <si>
    <t>Иные выплаты персоналу, за исключением фонда оплаты труда</t>
  </si>
  <si>
    <t>Субсидия на обеспечение сбалансированности местных бюджетов по социально значимым и первоочередным расходам</t>
  </si>
  <si>
    <t xml:space="preserve"> На обеспечение сбалансированности местных бюджетов по социально значимым и первоочередным расходам</t>
  </si>
  <si>
    <t>07 1 01 S2B60</t>
  </si>
  <si>
    <t>На осуществление отдельного государственного полномочия на капитальный (текущий) ремонт и содержание сибиреязвенных захоронений и скотомогильников (биотермических ям)</t>
  </si>
  <si>
    <t>9930073170</t>
  </si>
  <si>
    <t>9930073240</t>
  </si>
  <si>
    <t>1 16 01053 01 0000 140</t>
  </si>
  <si>
    <t>1 16 01063 01 0000 140</t>
  </si>
  <si>
    <t>1 16 01073 01 0000 140</t>
  </si>
  <si>
    <t>1 16 01083 01 0000 140</t>
  </si>
  <si>
    <t>1 16 01113 01 0000 140</t>
  </si>
  <si>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t>
  </si>
  <si>
    <t>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</si>
  <si>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</si>
  <si>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1 16 01143 01 0000 140</t>
  </si>
  <si>
    <t>1 16  01153 01 0000 140</t>
  </si>
  <si>
    <t>1 16 01173 01 00000 140</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</si>
  <si>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</si>
  <si>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</si>
  <si>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1 16 10129 01 0000 140</t>
  </si>
  <si>
    <t>1 16 01193 01 0000 140</t>
  </si>
  <si>
    <t>1 16 01203 01 0000 140</t>
  </si>
  <si>
    <t>1 16 07090 01 0000 140</t>
  </si>
  <si>
    <t>1 16 11050 01 0000 140</t>
  </si>
  <si>
    <t>13 1 00 00000</t>
  </si>
  <si>
    <t>13 1 00 40400</t>
  </si>
  <si>
    <t>Организация профилактики терроризма и экстремизма на территории Кяхтинского района Республики Бурятия.</t>
  </si>
  <si>
    <t xml:space="preserve"> Организация профилактики терроризма и экстремизма на территории Кяхтинского района Республики Бурятия.</t>
  </si>
  <si>
    <t>Субсидия бюджетам муниципальных районов (городских округов) на создание в общеобразовательных организациях, расположенных в сельской местности и малых городах, условий для занятия физической культурой и спортом</t>
  </si>
  <si>
    <t xml:space="preserve"> Софинансирование из местного бюджета на обеспечение сбалансированности местных бюджетов по социально значимым и первоочередным расходам</t>
  </si>
  <si>
    <t>Муниципальная программа "Развитие отрасли "Культура" МО "Кяхтинский район" на 2021-2023 г.г."</t>
  </si>
  <si>
    <t>Резервный фонд Правительства Республики Бурятия по ликвидации чрезвычайных ситуаций и последствий стихийных бедствий</t>
  </si>
  <si>
    <t>Охрана семьи и детства</t>
  </si>
  <si>
    <t>80 0 00 72Е70</t>
  </si>
  <si>
    <t>01,03,04</t>
  </si>
  <si>
    <t>Муниципальная программа "Формирование современной городской среды МО "Кяхтинский район" на 2018-2024 гг"</t>
  </si>
  <si>
    <t>Иные межбюджетные трансферты для реализации муниципальной программы  "Формирование современной городской среды МО "Кяхтинский район" на 2018-2024 г.г."</t>
  </si>
  <si>
    <t>Софинансирование из местного бюджета для реализации муниципальной программы  "Формирование современной городской среды МО "Кяхтинский район" на 2018-2024 года"</t>
  </si>
  <si>
    <t>Иные межбюджетные трансферты для реализации муниципальной программы  "Формирование современной городской среды МО "Кяхтинский район" на 2018-2024 гг"</t>
  </si>
  <si>
    <t>Софинансирование из местного бюджета для реализации муниципальной программы  "Формирование современной городской среды МО "Кяхтинский район" на 2018-2024 гг"</t>
  </si>
  <si>
    <t>Субсидии  на софинансирование мероприятий по строительству, реконструкции объектов дошкольного образования</t>
  </si>
  <si>
    <t>Иные межбюджетные трансферты за достижение  показателей деятельности органов исполнительной власти Республики Бурятия</t>
  </si>
  <si>
    <t>На обеспечение муниципальных дошкольных и общеобразовательных организаций педагогическими работниками</t>
  </si>
  <si>
    <t xml:space="preserve">Софинансирование из местного бюджета местным бюджетам на обеспечение прав детей, находящихся в трудной жизненной ситуации, на отдых и оздоровление </t>
  </si>
  <si>
    <t>Иные межбюджетные трансферты муниципальным образованиям на содержание автомобильных дорог общего пользования местного значения, в том числе обеспечение безопасности дорожного движения и аварийно-восстановительные работы</t>
  </si>
  <si>
    <t>07707 83060</t>
  </si>
  <si>
    <t>2 02 25243 05 0000 150</t>
  </si>
  <si>
    <t>2 02 25304 05 0000 150</t>
  </si>
  <si>
    <t>2 02 25509 05 0000 150</t>
  </si>
  <si>
    <t>2 02 25511 05 0000 150</t>
  </si>
  <si>
    <t>2 02 35469 05 0000 150</t>
  </si>
  <si>
    <t>Возврат неиспользованных остатков субсидии бюджетам муниципальных районов на обеспечение муниципальных дошкольных и общеобразовательных организаций педагогическими работниками</t>
  </si>
  <si>
    <t>Возврат неиспользованных остатков софинансирования из местного бюджета бюджетам муниципальных районов на обеспечение муниципальных дошкольных и общеобразовательных организаций педагогическими работниками</t>
  </si>
  <si>
    <t>на 2022 год и на плановый период 2023 и 2024 годов»</t>
  </si>
  <si>
    <t xml:space="preserve">от                                 2021 года № </t>
  </si>
  <si>
    <t xml:space="preserve">от                 2021 года № </t>
  </si>
  <si>
    <t xml:space="preserve">от                2021 года № </t>
  </si>
  <si>
    <t xml:space="preserve">от    2021 года № </t>
  </si>
  <si>
    <t>Налоговые и неналоговые доходы бюджета МО "Кяхтинский район" на 2022год</t>
  </si>
  <si>
    <t>План на год 2022</t>
  </si>
  <si>
    <t>Налоговые и неналоговые доходы бюджета МО "Кяхтинский район" на 2023-2024  годы</t>
  </si>
  <si>
    <t xml:space="preserve">от     2021 года №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</si>
  <si>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t>
  </si>
  <si>
    <t>План 2024 год</t>
  </si>
  <si>
    <t>Алтайское</t>
  </si>
  <si>
    <t>Большекударинское</t>
  </si>
  <si>
    <t>Большелугское</t>
  </si>
  <si>
    <t>Зарянская</t>
  </si>
  <si>
    <t>Кударинское</t>
  </si>
  <si>
    <t>Малокударинская</t>
  </si>
  <si>
    <t>Мурочинское</t>
  </si>
  <si>
    <t>Первомайское</t>
  </si>
  <si>
    <t>Субуктуйское</t>
  </si>
  <si>
    <t>Тамирское</t>
  </si>
  <si>
    <t>Усть-Киранское</t>
  </si>
  <si>
    <t>Усть-Кяхтинское</t>
  </si>
  <si>
    <t>Хоронхойское</t>
  </si>
  <si>
    <t>Чикойское</t>
  </si>
  <si>
    <t>Шарагольское</t>
  </si>
  <si>
    <t>ГП Наушкинскре</t>
  </si>
  <si>
    <t>НА 2023г</t>
  </si>
  <si>
    <t>НА 2024г</t>
  </si>
  <si>
    <t>от                            2021 года №</t>
  </si>
  <si>
    <t>Объем безвозмездных поступлений в бюджет муниципального образования "Кяхтинский район" на 2022 год</t>
  </si>
  <si>
    <t xml:space="preserve">от                  2021 года № </t>
  </si>
  <si>
    <t>План на 2024 год (тыс.руб)</t>
  </si>
  <si>
    <t>на 2022 год и плановый период 2023 и 2024 годов »</t>
  </si>
  <si>
    <t xml:space="preserve">от                     2021 года № </t>
  </si>
  <si>
    <t>Распределение бюджетных ассигнований по разделам, подразделам, целевым статьям, группам и подгруппам видов расходов классификации расходов бюджетов на 2022 год</t>
  </si>
  <si>
    <t>на 2022 год и плановый период 2023-2024 годов »</t>
  </si>
  <si>
    <t>2024 год</t>
  </si>
  <si>
    <t>Ведомственная структура расходов бюджета муниципального образования "Кяхтинский район" на 2022 год</t>
  </si>
  <si>
    <t>Источники финансирования дефицита бюджета муниципального образования "Кяхтинский район" на 2022 год</t>
  </si>
  <si>
    <t>на 2022 год и плановый период 2023 и 2024 годов»</t>
  </si>
  <si>
    <t xml:space="preserve">2024 год </t>
  </si>
  <si>
    <t>на 2022 год и плановый период 2023 и 2024 годов</t>
  </si>
  <si>
    <t xml:space="preserve">от            2021 года № </t>
  </si>
  <si>
    <t xml:space="preserve">от                          2021 года № </t>
  </si>
  <si>
    <t>2024г</t>
  </si>
  <si>
    <t>Распределение бюджетных ассигнований на реализацию муниципальных программ муниципального образования "Кяхтинский район"на 2023-2024 года</t>
  </si>
  <si>
    <t xml:space="preserve">от              2021 года № </t>
  </si>
  <si>
    <t>Субсидии на развитие транспортной инфраструктуры на сельских территориях</t>
  </si>
  <si>
    <t>ФБ 21168 РБ 432</t>
  </si>
  <si>
    <t>Иные межбюджетные трансферты на организацию бесплатного горячего питания обцчающихся, получающих начальное общее образование в государственных и муниципальных организациях</t>
  </si>
  <si>
    <t>На развитие транспортной инфраструктуры на сельских территориях</t>
  </si>
  <si>
    <t>63302L3720</t>
  </si>
  <si>
    <t>99 9 00 Д0200</t>
  </si>
  <si>
    <t>999 00 S2270</t>
  </si>
  <si>
    <t>9900000000</t>
  </si>
  <si>
    <t>999 00 S2340</t>
  </si>
  <si>
    <t>99900S2890</t>
  </si>
  <si>
    <t>99900S2891</t>
  </si>
  <si>
    <t>99900 73040</t>
  </si>
  <si>
    <t>99900 83020</t>
  </si>
  <si>
    <t>99900 73020</t>
  </si>
  <si>
    <t>99900 73030</t>
  </si>
  <si>
    <t>Иные межбюджетные трансферты для реализации муниципальной программы  "Формирование современной городской среды МО "Кяхтинский район" на 2018-2024г.г."</t>
  </si>
  <si>
    <t>99900 S2Е90</t>
  </si>
  <si>
    <t>99900S2Л40</t>
  </si>
  <si>
    <t>9910091020</t>
  </si>
  <si>
    <t>9990073090</t>
  </si>
  <si>
    <t>33 0 0173220</t>
  </si>
  <si>
    <t>33 0 01 73200</t>
  </si>
  <si>
    <t>33 0 0173200</t>
  </si>
  <si>
    <t>33 0 0173170</t>
  </si>
  <si>
    <t>33 0 0173240</t>
  </si>
  <si>
    <t>12 0 00 73070</t>
  </si>
  <si>
    <t>12 0 00 73080</t>
  </si>
  <si>
    <t>Центральный аппарат</t>
  </si>
  <si>
    <t>851</t>
  </si>
  <si>
    <t>852</t>
  </si>
  <si>
    <t>66 3 00 00000</t>
  </si>
  <si>
    <t>Муниципальная программа "Развитие строительства в МО "Кяхтинский район" на 2022-2024годы"</t>
  </si>
  <si>
    <t>Муниципальная программа"Улучшение инвестиционного климата в МО "Кяхтинский район" на 2022-2024 годы."</t>
  </si>
  <si>
    <t>11 0 00 S2200</t>
  </si>
  <si>
    <t>Расходы на обеспечение деятельности учреждений физической культуры и спорта</t>
  </si>
  <si>
    <t>12 0 00 82100</t>
  </si>
  <si>
    <t>12 0 00 87000</t>
  </si>
  <si>
    <t>Обеспечение деятельности Совета депутатов МО "Кяхтинский район", контрольно-счетной палаты.</t>
  </si>
  <si>
    <t>33 0 01 00000</t>
  </si>
  <si>
    <t>Мероприятия по охране окружающей среды в МО "Кяхтинский район</t>
  </si>
  <si>
    <t>12 0 02 11020</t>
  </si>
  <si>
    <t>12 0 02 00000</t>
  </si>
  <si>
    <t>Материальное поошрение охотников-волчатников</t>
  </si>
  <si>
    <t>930</t>
  </si>
  <si>
    <t xml:space="preserve">Распределение дотаций на выравнивание бюджетной обеспеченности поселений из бюджета муниципального района на 2022 год   </t>
  </si>
  <si>
    <t>2.Распределения иных межбюджетных трансфертов бюджетам поселений, входящих в состав муниципального района  на  2022 год</t>
  </si>
  <si>
    <t>кап.ремонт</t>
  </si>
  <si>
    <t>12 0 00  87000</t>
  </si>
  <si>
    <t>Муниципальная программа "Развитие  имущественных и земельных отношений в МО "Кяхтинский район"на 2022-2024 годы"</t>
  </si>
  <si>
    <t>934,937</t>
  </si>
  <si>
    <t>12 0 00 80900</t>
  </si>
  <si>
    <t xml:space="preserve"> Муниципальная программа "Развитие имущественных и земельных отношений в МО "Кяхтинский район" на 2022-2024 годы" </t>
  </si>
  <si>
    <t xml:space="preserve">Субсидии бюджетам муниципальных образований в Республике Бурятия на обеспечение развития и укрепления материально-технической базы домов культуры в населенных пунктах с числом жителей до 50 тысяч человек </t>
  </si>
  <si>
    <t>937,936,934</t>
  </si>
  <si>
    <t>Муниципальная программа"Улучшение инвестиционного климата в МО "Кяхтинский район" на 2022-2024 годы"</t>
  </si>
  <si>
    <t xml:space="preserve"> Подпрограмма "Развитие имиджа МО "Кяхтинский район"</t>
  </si>
  <si>
    <t>Муниципальная программа "Обеспечение деятельности Администрации муниципального образования "Кяхтинский район" на 2022-2024 годы</t>
  </si>
  <si>
    <t>Повышение эффективности управления, создание условий для профессионального развития и подготовки кадров муниципальной службы</t>
  </si>
  <si>
    <t xml:space="preserve"> Подпрограмма "Обеспечение деятельности административно-хозяйственной части администрации МО "Кяхтинский район"</t>
  </si>
  <si>
    <t>Обеспечение  деятельности административно-хозяйственной части Администрации МО «Кяхтинский район"</t>
  </si>
  <si>
    <t>67 0 00 000000</t>
  </si>
  <si>
    <t>67 1 00  00000</t>
  </si>
  <si>
    <t>67 1 02 00000</t>
  </si>
  <si>
    <t>67 1 02 91010</t>
  </si>
  <si>
    <t>67 1 03 00000</t>
  </si>
  <si>
    <t>Расходы по содержанию органов местного самоуправления, направленные на выполнение полномочий субъекта Российской Федерации</t>
  </si>
  <si>
    <t>67 1 02 C0200</t>
  </si>
  <si>
    <t xml:space="preserve">Освещение деятельности органов местного самоуправления муниципального образования "Кяхтинский район" </t>
  </si>
  <si>
    <t>Подпрограмма "Развитие муниципальной службы в МО "Кяхтинский район" на 2022-2024 годы"</t>
  </si>
  <si>
    <t>67 0 00 00000</t>
  </si>
  <si>
    <t>67 1 03 51200</t>
  </si>
  <si>
    <t>67 1 03 73100</t>
  </si>
  <si>
    <t>67 1 03 73110</t>
  </si>
  <si>
    <t>671 03 73120</t>
  </si>
  <si>
    <t>67 1 03 73130</t>
  </si>
  <si>
    <t>67 1 03 73150</t>
  </si>
  <si>
    <t>67 1 03 73250</t>
  </si>
  <si>
    <t>67 1 04 00000</t>
  </si>
  <si>
    <t>67 1 04 91020</t>
  </si>
  <si>
    <t>67 1 04 91030</t>
  </si>
  <si>
    <t>67 1 04 80900</t>
  </si>
  <si>
    <t>67 1 04 91050</t>
  </si>
  <si>
    <t>67 1 04 91060</t>
  </si>
  <si>
    <t>67 1 04 C0100</t>
  </si>
  <si>
    <t>67 2 00 00000</t>
  </si>
  <si>
    <t>67 2 00 54005</t>
  </si>
  <si>
    <t>67 1 00 00000</t>
  </si>
  <si>
    <t>67 1 02 91020</t>
  </si>
  <si>
    <t>67 1 02 S2870</t>
  </si>
  <si>
    <t>67 1 03 73120</t>
  </si>
  <si>
    <t>671 03 73010</t>
  </si>
  <si>
    <t>99 9 00 S2660</t>
  </si>
  <si>
    <t>99 9 00 83010</t>
  </si>
  <si>
    <t>99 9 00 83120</t>
  </si>
  <si>
    <t>Муниципальная программа "Развитие строительства в МО "Кяхтинский район" на 2022-2024 годы"</t>
  </si>
  <si>
    <t>Программа муниципальных внутренних заимствований  муниципального образования "Кяхтинский район" на 2022 год</t>
  </si>
  <si>
    <t>Программа муниципальных внутренних заимствований  муниципального образования "Кяхтинский район" на 2023 и 2024 годы.</t>
  </si>
  <si>
    <t xml:space="preserve">от                       2021 года № </t>
  </si>
  <si>
    <t>от                      2021 года №</t>
  </si>
  <si>
    <t xml:space="preserve">от                   2021 года № </t>
  </si>
  <si>
    <t xml:space="preserve">от                    2021 года № </t>
  </si>
  <si>
    <t>Программа муниципальных гарантий муниципального образования "Кяхтинский район"на 2022год</t>
  </si>
  <si>
    <t>Программа муниципальных гарантий муниципального образования "Кяхтинский район"на 2023-2024 годы</t>
  </si>
  <si>
    <t>1. Перечень подлежащих предоставлению муницпальных гарантий муницирального образования "Кяхтинский район" на 2023-2024 годы.</t>
  </si>
  <si>
    <t>2. Общий объем бюджетных ассигнований, предусмотренных на исполнение муниципальных гарантий МО "Кяхтинский район" по возможным гарантийным случаям на 2023-2024 годы</t>
  </si>
  <si>
    <t xml:space="preserve">Распределения иных межбюджетных трансфертов на первоочередные расходы сельских и городских поселений на 2022 год </t>
  </si>
  <si>
    <t>Обеспечение проведения выборов и референдумов</t>
  </si>
  <si>
    <t>Специальные расходы</t>
  </si>
  <si>
    <t>Субсидии на подготовку проектов межевания и проведение кадастровых работ в отношении земельных участков, выделяемых в счет земельных долей</t>
  </si>
  <si>
    <t>ФБ 3324,7 РБ 212,2</t>
  </si>
  <si>
    <t>ФБ 1645,0 РБ 508,1</t>
  </si>
  <si>
    <t>ФБ 10017,0 РБ 200,3</t>
  </si>
  <si>
    <t xml:space="preserve">ФБ 1536,4 РБ 653,1 </t>
  </si>
  <si>
    <t>ФБ 1036,3 РБ 419,3</t>
  </si>
  <si>
    <t>ФБ 11130,0 РБ 222,6</t>
  </si>
  <si>
    <t>ФБ 22610,6 РБ 461,4</t>
  </si>
  <si>
    <t>Субсидии на создание центров цифрового образования детей</t>
  </si>
  <si>
    <t>ФБ 20581,4 РБ 420,1</t>
  </si>
  <si>
    <t>На создание центров цифрового образования детей</t>
  </si>
  <si>
    <t>517E4 52190</t>
  </si>
  <si>
    <t>99 9 00 73180</t>
  </si>
  <si>
    <t>2023 год                                             сумма</t>
  </si>
  <si>
    <t>Распределения иных межбюджетных трансфертов бюджетам поселений, входящих в состав муниципального района  на  2023-2024 годы</t>
  </si>
  <si>
    <t>2023год</t>
  </si>
  <si>
    <t xml:space="preserve">Распределение дотаций на выравнивание бюджетной обеспеченности поселений из бюджета муниципального района                       на 2023-2024 годы </t>
  </si>
  <si>
    <t xml:space="preserve">Распределения иных межбюджетных трансфертов на первоочередные расходы сельских и городских поселений                               на 2023-2024 годы  </t>
  </si>
  <si>
    <t>2024 г.</t>
  </si>
  <si>
    <t>99 0 000 00000</t>
  </si>
  <si>
    <t>99 9 00L4970</t>
  </si>
  <si>
    <t>999 00 S2160</t>
  </si>
  <si>
    <t>99900 S2160</t>
  </si>
  <si>
    <t>Распределение бюджетных ассигнований на реализацию муниципальных программ муниципального образования "Кяхтинский район"на 2022 год</t>
  </si>
  <si>
    <t>Таблица 2.2</t>
  </si>
  <si>
    <t>Таблица 2.3</t>
  </si>
  <si>
    <t>Таблица 2.4</t>
  </si>
  <si>
    <t>Осуществление переданного отдельного государственного полномочия по поддержке сельскохозяйственного производства  органам местного самоуправления</t>
  </si>
  <si>
    <t>12 0 01 11020</t>
  </si>
  <si>
    <t>12 0 01 11030</t>
  </si>
  <si>
    <t>Мероприятия по улучшению жилищных условий граждан, проживающих в сельской местности</t>
  </si>
  <si>
    <t>Мероприятия по  улучшению современного облика сельских территорий</t>
  </si>
  <si>
    <t>Таблица 2.7</t>
  </si>
  <si>
    <t>СП Большекударинское</t>
  </si>
  <si>
    <t>Таблица 2.8</t>
  </si>
  <si>
    <t>1. Перечень подлежащих предоставлению муницпальных гарантий муницирального образования "Кяхтинский район" на 2022 год.</t>
  </si>
  <si>
    <t>2. Общий объем бюджетных ассигнований, предусмотренных на исполнение муниципальных гарантий МО "Кяхтинский район" по возможным гарантийным случаям на 2022 год</t>
  </si>
  <si>
    <t>Объем бюджетных ассигнований на исполнение муниципальных гарантий МО "Кяхтинский район" по возможным гарантийным случаям в 2022 году.</t>
  </si>
  <si>
    <t>Объем бюджетных ассигнований на исполнение муниципальных гарантий МО "Кяхтинский район" по возможным гарантийным случаям в 2023-2024 годы.</t>
  </si>
  <si>
    <t>Субсидии на обеспечение компенсации питания родителям (законным представителям) обучающихся в муниципальных 
общеобразовательных организациях, имеющих статус обучающихся с ограниченными возможностями здоровья, обучение которых 
организовано на дому</t>
  </si>
  <si>
    <t>Субвенция местным бюджетам на предоставление мер социальной поддержки по оплате коммунальных услуг педагогическим работникам муниципальных дошкольных образовательных организаций, муниципальных образовательных организаций дополнительного образования, бывшим педагогическим работникам образовательных организаций, переведенным специалистам в организации, реализующие программы спортивной подготовки, специалистам организаций, реализующих программы спортивной подготовки, в соответствии с перечнем должностей, утвержденным органом государственной власти Республики Бурятия в области физической культуры и спорта, специалистам муниципальных учреждений культуры,проживающим, работающим в сельских населенных пунктах, рабочих поселках (поселках городского типа) на территории Республики Бурятия</t>
  </si>
  <si>
    <t xml:space="preserve"> «О бюджете муниципального образования  «Кяхтинский район» </t>
  </si>
  <si>
    <t>Содержание автомобильных дорог общего пользования местного значения</t>
  </si>
  <si>
    <t>1 16 01064 01 0000 140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</si>
  <si>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выявленные должностными лицами органов муниципального контроля</t>
  </si>
  <si>
    <t>2 02 20077 05 0000 150</t>
  </si>
  <si>
    <t>Субсидии бюджетам муниципальных районов на строительство и реконструкцию (модернизацию) объектов питьевого водоснабжения</t>
  </si>
  <si>
    <t>2 02 25420 05 0000 150</t>
  </si>
  <si>
    <t>Субсидии бюджетам муниципальных районов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</si>
  <si>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</si>
  <si>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подготовку и проведение празднования на федеральном уровне памятных дат субъектов Российской Федерации</t>
  </si>
  <si>
    <t>Субсидии бюджетам муниципальных районов на проведение комплексных кадастровых работ</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</si>
  <si>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t>
  </si>
  <si>
    <t>2 02 25560 05 0000 150</t>
  </si>
  <si>
    <t>Субсидии бюджетам муниципальных районов на поддержку обустройства мест массового отдыха населения (городских парков)</t>
  </si>
  <si>
    <t>2 02 25567 05 0000 150</t>
  </si>
  <si>
    <t>Субсидии бюджетам муниципальных районов на обеспечение устойчивого развития сельских территорий</t>
  </si>
  <si>
    <t>Субсидии бюджетам муниципальных районов на обеспечение комплексного развития сельских территорий</t>
  </si>
  <si>
    <t>2 02 29999 05 0000 150</t>
  </si>
  <si>
    <t>Субвенции бюджетам муниципальных районов на проведение Всероссийской переписи населения 2020 года</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</si>
  <si>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</si>
  <si>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2 02 45550 05 0000 150</t>
  </si>
  <si>
    <t>Межбюджетные трансферты, передаваемые бюджетам муниципальных районов за достижение показателей деятельности органов исполнительной власти субъектов Российской Федерации</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</si>
  <si>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</si>
  <si>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2 023 9999 05 0000 150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</si>
  <si>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</si>
  <si>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2 08 05000 05 0000 150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</si>
  <si>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</si>
  <si>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</si>
  <si>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</si>
  <si>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</si>
  <si>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Объем безвозмездных поступлений в бюджет муниципального образования "Кяхтинский район" на 2023-2024 год</t>
  </si>
</sst>
</file>

<file path=xl/styles.xml><?xml version="1.0" encoding="utf-8"?>
<styleSheet xmlns="http://schemas.openxmlformats.org/spreadsheetml/2006/main">
  <numFmts count="9">
    <numFmt numFmtId="164" formatCode="_-* #,##0.00_р_._-;\-* #,##0.00_р_._-;_-* &quot;-&quot;??_р_._-;_-@_-"/>
    <numFmt numFmtId="165" formatCode="0.0"/>
    <numFmt numFmtId="166" formatCode="#,##0.00000"/>
    <numFmt numFmtId="167" formatCode="#,##0.0"/>
    <numFmt numFmtId="168" formatCode="#,##0.0_ ;\-#,##0.0\ "/>
    <numFmt numFmtId="169" formatCode="0.00000"/>
    <numFmt numFmtId="170" formatCode="0.000000"/>
    <numFmt numFmtId="171" formatCode="0.000"/>
    <numFmt numFmtId="172" formatCode="0.0%"/>
  </numFmts>
  <fonts count="69">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u/>
      <sz val="10"/>
      <color indexed="12"/>
      <name val="Arial Cyr"/>
      <charset val="204"/>
    </font>
    <font>
      <b/>
      <sz val="11"/>
      <name val="Times New Roman"/>
      <family val="1"/>
      <charset val="204"/>
    </font>
    <font>
      <sz val="10"/>
      <name val="Times New Roman"/>
      <family val="1"/>
      <charset val="204"/>
    </font>
    <font>
      <b/>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sz val="14"/>
      <name val="Times New Roman"/>
      <family val="1"/>
      <charset val="204"/>
    </font>
    <font>
      <sz val="10"/>
      <name val="Arial"/>
      <family val="2"/>
      <charset val="204"/>
    </font>
    <font>
      <b/>
      <sz val="10"/>
      <name val="Arial Cyr"/>
      <charset val="204"/>
    </font>
    <font>
      <sz val="11"/>
      <color indexed="8"/>
      <name val="Times New Roman"/>
      <family val="1"/>
      <charset val="204"/>
    </font>
    <font>
      <sz val="8"/>
      <name val="Arial Cyr"/>
      <charset val="204"/>
    </font>
    <font>
      <sz val="10"/>
      <name val="Arial Cyr"/>
      <charset val="204"/>
    </font>
    <font>
      <b/>
      <sz val="10"/>
      <color indexed="8"/>
      <name val="Times New Roman"/>
      <family val="1"/>
      <charset val="204"/>
    </font>
    <font>
      <b/>
      <i/>
      <sz val="10"/>
      <name val="Times New Roman"/>
      <family val="1"/>
      <charset val="204"/>
    </font>
    <font>
      <i/>
      <sz val="10"/>
      <name val="Times New Roman"/>
      <family val="1"/>
      <charset val="204"/>
    </font>
    <font>
      <sz val="10"/>
      <color indexed="8"/>
      <name val="Times New Roman"/>
      <family val="1"/>
      <charset val="204"/>
    </font>
    <font>
      <b/>
      <sz val="10"/>
      <name val="Times New Roman Cyr"/>
      <family val="1"/>
      <charset val="204"/>
    </font>
    <font>
      <sz val="10"/>
      <name val="Times New Roman Cyr"/>
      <family val="1"/>
      <charset val="204"/>
    </font>
    <font>
      <sz val="10"/>
      <name val="Times New Roman"/>
      <family val="1"/>
    </font>
    <font>
      <b/>
      <sz val="10"/>
      <name val="Times New Roman Cyr"/>
      <charset val="204"/>
    </font>
    <font>
      <sz val="8"/>
      <name val="Times New Roman"/>
      <family val="1"/>
      <charset val="204"/>
    </font>
    <font>
      <sz val="8"/>
      <name val="Arial"/>
      <family val="2"/>
    </font>
    <font>
      <sz val="12"/>
      <name val="Arial Cyr"/>
      <charset val="204"/>
    </font>
    <font>
      <b/>
      <sz val="12"/>
      <color indexed="8"/>
      <name val="Times New Roman"/>
      <family val="1"/>
      <charset val="204"/>
    </font>
    <font>
      <b/>
      <i/>
      <sz val="12"/>
      <name val="Times New Roman"/>
      <family val="1"/>
      <charset val="204"/>
    </font>
    <font>
      <i/>
      <sz val="12"/>
      <name val="Times New Roman"/>
      <family val="1"/>
      <charset val="204"/>
    </font>
    <font>
      <i/>
      <sz val="12"/>
      <color indexed="8"/>
      <name val="Times New Roman"/>
      <family val="1"/>
      <charset val="204"/>
    </font>
    <font>
      <b/>
      <sz val="12"/>
      <color indexed="10"/>
      <name val="Times New Roman"/>
      <family val="1"/>
      <charset val="204"/>
    </font>
    <font>
      <sz val="12"/>
      <color indexed="8"/>
      <name val="Times New Roman"/>
      <family val="1"/>
      <charset val="204"/>
    </font>
    <font>
      <i/>
      <sz val="8"/>
      <name val="Arial"/>
      <family val="2"/>
    </font>
    <font>
      <b/>
      <i/>
      <sz val="12"/>
      <color indexed="10"/>
      <name val="Times New Roman"/>
      <family val="1"/>
      <charset val="204"/>
    </font>
    <font>
      <sz val="9"/>
      <color indexed="81"/>
      <name val="Tahoma"/>
      <family val="2"/>
      <charset val="204"/>
    </font>
    <font>
      <b/>
      <sz val="9"/>
      <color indexed="81"/>
      <name val="Tahoma"/>
      <family val="2"/>
      <charset val="204"/>
    </font>
    <font>
      <sz val="9"/>
      <name val="Arial"/>
      <family val="2"/>
      <charset val="204"/>
    </font>
    <font>
      <sz val="9"/>
      <name val="Arial Cyr"/>
      <charset val="204"/>
    </font>
    <font>
      <b/>
      <sz val="9"/>
      <name val="Times New Roman"/>
      <family val="1"/>
      <charset val="204"/>
    </font>
    <font>
      <b/>
      <sz val="9"/>
      <name val="Arial Cyr"/>
      <charset val="204"/>
    </font>
    <font>
      <sz val="9"/>
      <name val="Times New Roman"/>
      <family val="1"/>
      <charset val="204"/>
    </font>
    <font>
      <sz val="9"/>
      <color indexed="8"/>
      <name val="Times New Roman"/>
      <family val="1"/>
      <charset val="204"/>
    </font>
    <font>
      <sz val="12"/>
      <name val="Arial"/>
      <family val="2"/>
      <charset val="204"/>
    </font>
    <font>
      <b/>
      <sz val="12"/>
      <name val="Arial"/>
      <family val="2"/>
      <charset val="204"/>
    </font>
    <font>
      <i/>
      <sz val="10"/>
      <color indexed="8"/>
      <name val="Times New Roman"/>
      <family val="1"/>
      <charset val="204"/>
    </font>
    <font>
      <i/>
      <sz val="9"/>
      <name val="Arial"/>
      <family val="2"/>
      <charset val="204"/>
    </font>
    <font>
      <b/>
      <i/>
      <sz val="12"/>
      <color theme="1"/>
      <name val="Times New Roman"/>
      <family val="1"/>
      <charset val="204"/>
    </font>
    <font>
      <sz val="12"/>
      <color rgb="FF000000"/>
      <name val="Times New Roman"/>
      <family val="1"/>
      <charset val="204"/>
    </font>
    <font>
      <b/>
      <sz val="12"/>
      <color theme="1"/>
      <name val="Times New Roman"/>
      <family val="1"/>
      <charset val="204"/>
    </font>
    <font>
      <sz val="10"/>
      <color rgb="FF000000"/>
      <name val="Times New Roman"/>
      <family val="1"/>
      <charset val="204"/>
    </font>
    <font>
      <sz val="12"/>
      <color theme="1"/>
      <name val="Times New Roman"/>
      <family val="1"/>
      <charset val="204"/>
    </font>
    <font>
      <b/>
      <sz val="14"/>
      <name val="Times New Roman"/>
      <family val="1"/>
      <charset val="204"/>
    </font>
    <font>
      <sz val="10"/>
      <color rgb="FF0A0A0A"/>
      <name val="Times New Roman"/>
      <family val="1"/>
      <charset val="204"/>
    </font>
    <font>
      <sz val="11"/>
      <color rgb="FF0A0A0A"/>
      <name val="Times New Roman"/>
      <family val="1"/>
      <charset val="204"/>
    </font>
    <font>
      <b/>
      <i/>
      <sz val="11"/>
      <name val="Times New Roman"/>
      <family val="1"/>
      <charset val="204"/>
    </font>
    <font>
      <i/>
      <sz val="12"/>
      <color theme="1"/>
      <name val="Times New Roman"/>
      <family val="1"/>
      <charset val="204"/>
    </font>
    <font>
      <i/>
      <sz val="10"/>
      <color theme="1"/>
      <name val="Times New Roman"/>
      <family val="1"/>
      <charset val="204"/>
    </font>
    <font>
      <sz val="10"/>
      <color theme="1"/>
      <name val="Times New Roman"/>
      <family val="1"/>
      <charset val="204"/>
    </font>
    <font>
      <b/>
      <sz val="12"/>
      <color rgb="FF0A0A0A"/>
      <name val="Times New Roman"/>
      <family val="1"/>
      <charset val="204"/>
    </font>
    <font>
      <sz val="11"/>
      <color rgb="FF000000"/>
      <name val="Times New Roman"/>
      <family val="1"/>
      <charset val="204"/>
    </font>
    <font>
      <sz val="12"/>
      <color rgb="FF0A0A0A"/>
      <name val="Times New Roman"/>
      <family val="1"/>
      <charset val="204"/>
    </font>
    <font>
      <sz val="8"/>
      <name val="Arial"/>
      <family val="2"/>
      <charset val="204"/>
    </font>
    <font>
      <sz val="9"/>
      <color rgb="FF000000"/>
      <name val="Times New Roman"/>
      <family val="1"/>
      <charset val="204"/>
    </font>
    <font>
      <sz val="9"/>
      <color theme="1"/>
      <name val="Times New Roman"/>
      <family val="1"/>
      <charset val="204"/>
    </font>
    <font>
      <b/>
      <sz val="10"/>
      <color rgb="FF000000"/>
      <name val="Times New Roman"/>
      <family val="1"/>
      <charset val="204"/>
    </font>
    <font>
      <b/>
      <sz val="12"/>
      <color rgb="FF000000"/>
      <name val="Times New Roman"/>
      <family val="1"/>
      <charset val="204"/>
    </font>
  </fonts>
  <fills count="1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8">
    <xf numFmtId="0" fontId="0" fillId="0" borderId="0"/>
    <xf numFmtId="0" fontId="5" fillId="0" borderId="0" applyNumberFormat="0" applyFill="0" applyBorder="0" applyAlignment="0" applyProtection="0">
      <alignment vertical="top"/>
      <protection locked="0"/>
    </xf>
    <xf numFmtId="0" fontId="4" fillId="0" borderId="0"/>
    <xf numFmtId="0" fontId="13" fillId="0" borderId="0"/>
    <xf numFmtId="0" fontId="27" fillId="0" borderId="0"/>
    <xf numFmtId="0" fontId="27" fillId="0" borderId="0"/>
    <xf numFmtId="0" fontId="16" fillId="0" borderId="0"/>
    <xf numFmtId="9" fontId="4" fillId="0" borderId="0" applyFont="0" applyFill="0" applyBorder="0" applyAlignment="0" applyProtection="0"/>
    <xf numFmtId="164" fontId="4" fillId="0" borderId="0" applyFont="0" applyFill="0" applyBorder="0" applyAlignment="0" applyProtection="0"/>
    <xf numFmtId="0" fontId="64" fillId="0" borderId="0"/>
    <xf numFmtId="0" fontId="3" fillId="0" borderId="0"/>
    <xf numFmtId="0" fontId="2" fillId="0" borderId="0"/>
    <xf numFmtId="0" fontId="4" fillId="0" borderId="0"/>
    <xf numFmtId="9" fontId="4" fillId="0" borderId="0" applyFont="0" applyFill="0" applyBorder="0" applyAlignment="0" applyProtection="0"/>
    <xf numFmtId="164" fontId="4" fillId="0" borderId="0" applyFont="0" applyFill="0" applyBorder="0" applyAlignment="0" applyProtection="0"/>
    <xf numFmtId="0" fontId="2" fillId="0" borderId="0"/>
    <xf numFmtId="0" fontId="1" fillId="0" borderId="0"/>
    <xf numFmtId="0" fontId="1" fillId="0" borderId="0"/>
  </cellStyleXfs>
  <cellXfs count="1028">
    <xf numFmtId="0" fontId="0" fillId="0" borderId="0" xfId="0"/>
    <xf numFmtId="0" fontId="7" fillId="0" borderId="0" xfId="0" applyFont="1" applyAlignment="1">
      <alignment wrapText="1"/>
    </xf>
    <xf numFmtId="0" fontId="9" fillId="0" borderId="0" xfId="0" applyFont="1" applyAlignment="1">
      <alignment wrapText="1"/>
    </xf>
    <xf numFmtId="0" fontId="9" fillId="0" borderId="0" xfId="0" applyFont="1"/>
    <xf numFmtId="0" fontId="7" fillId="0" borderId="0" xfId="0" applyFont="1"/>
    <xf numFmtId="0" fontId="8" fillId="0" borderId="0" xfId="0" applyFont="1" applyAlignment="1">
      <alignment vertical="center" wrapText="1"/>
    </xf>
    <xf numFmtId="0" fontId="12" fillId="0" borderId="0" xfId="0" applyFont="1"/>
    <xf numFmtId="0" fontId="12" fillId="0" borderId="0" xfId="0" applyFont="1" applyAlignment="1">
      <alignment wrapText="1"/>
    </xf>
    <xf numFmtId="0" fontId="11" fillId="0" borderId="1" xfId="0" applyFont="1" applyBorder="1" applyAlignment="1">
      <alignment horizontal="center"/>
    </xf>
    <xf numFmtId="49" fontId="12" fillId="0" borderId="0" xfId="0" applyNumberFormat="1" applyFont="1" applyAlignment="1">
      <alignment wrapText="1"/>
    </xf>
    <xf numFmtId="49" fontId="10" fillId="0" borderId="0" xfId="0" applyNumberFormat="1" applyFont="1" applyAlignment="1">
      <alignment horizontal="left" wrapText="1"/>
    </xf>
    <xf numFmtId="49" fontId="7" fillId="0" borderId="0" xfId="0" applyNumberFormat="1" applyFont="1" applyAlignment="1">
      <alignment wrapText="1"/>
    </xf>
    <xf numFmtId="0" fontId="6" fillId="0" borderId="0" xfId="0" applyFont="1"/>
    <xf numFmtId="0" fontId="15" fillId="0" borderId="1" xfId="0" applyFont="1" applyBorder="1" applyAlignment="1">
      <alignment horizontal="center" vertical="top" wrapText="1"/>
    </xf>
    <xf numFmtId="0" fontId="11" fillId="0" borderId="3" xfId="0" applyFont="1" applyBorder="1" applyAlignment="1">
      <alignment vertical="top" wrapText="1"/>
    </xf>
    <xf numFmtId="0" fontId="15" fillId="0" borderId="3" xfId="0" applyFont="1" applyBorder="1" applyAlignment="1">
      <alignment vertical="top" wrapText="1"/>
    </xf>
    <xf numFmtId="49" fontId="11" fillId="0" borderId="1" xfId="0" applyNumberFormat="1" applyFont="1" applyBorder="1" applyAlignment="1">
      <alignment horizontal="center" wrapText="1"/>
    </xf>
    <xf numFmtId="0" fontId="11" fillId="0" borderId="1" xfId="0" applyFont="1" applyBorder="1" applyAlignment="1">
      <alignment horizontal="center" vertical="top" wrapText="1"/>
    </xf>
    <xf numFmtId="0" fontId="8" fillId="0" borderId="0" xfId="0" applyFont="1"/>
    <xf numFmtId="0" fontId="6" fillId="0" borderId="2" xfId="0" applyFont="1" applyBorder="1" applyAlignment="1">
      <alignment horizontal="center"/>
    </xf>
    <xf numFmtId="0" fontId="11" fillId="0" borderId="3" xfId="0" applyFont="1" applyBorder="1" applyAlignment="1">
      <alignment horizontal="left" vertical="top" wrapText="1"/>
    </xf>
    <xf numFmtId="0" fontId="8" fillId="0" borderId="0" xfId="0" applyFont="1" applyAlignment="1">
      <alignment wrapText="1"/>
    </xf>
    <xf numFmtId="0" fontId="7" fillId="0" borderId="0" xfId="0" applyFont="1" applyAlignment="1">
      <alignment horizontal="right"/>
    </xf>
    <xf numFmtId="0" fontId="7" fillId="0" borderId="0" xfId="0" applyFont="1" applyFill="1"/>
    <xf numFmtId="0" fontId="8" fillId="0" borderId="0" xfId="0" applyFont="1" applyBorder="1" applyAlignment="1">
      <alignment vertical="center" wrapText="1"/>
    </xf>
    <xf numFmtId="0" fontId="7" fillId="0" borderId="1" xfId="0" applyFont="1" applyBorder="1" applyAlignment="1">
      <alignment wrapText="1"/>
    </xf>
    <xf numFmtId="0" fontId="7" fillId="0" borderId="0" xfId="0" applyFont="1" applyBorder="1"/>
    <xf numFmtId="0" fontId="7" fillId="0" borderId="0" xfId="0" applyFont="1" applyBorder="1" applyAlignment="1">
      <alignment wrapText="1"/>
    </xf>
    <xf numFmtId="0" fontId="8" fillId="0" borderId="0" xfId="0"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right" wrapText="1"/>
    </xf>
    <xf numFmtId="0" fontId="8" fillId="0" borderId="1" xfId="0" applyFont="1" applyBorder="1" applyAlignment="1">
      <alignment horizontal="center" vertical="center" wrapText="1"/>
    </xf>
    <xf numFmtId="0" fontId="7" fillId="0" borderId="1" xfId="0" applyFont="1" applyBorder="1" applyAlignment="1">
      <alignment horizontal="center" vertical="top" wrapText="1"/>
    </xf>
    <xf numFmtId="0" fontId="21" fillId="0" borderId="1" xfId="0" applyFont="1" applyBorder="1" applyAlignment="1">
      <alignment horizontal="center" vertical="top" wrapText="1"/>
    </xf>
    <xf numFmtId="0" fontId="8" fillId="0" borderId="1" xfId="0" applyFont="1" applyBorder="1" applyAlignment="1">
      <alignment wrapText="1"/>
    </xf>
    <xf numFmtId="0" fontId="7" fillId="0" borderId="1" xfId="0" applyFont="1" applyBorder="1" applyAlignment="1">
      <alignment horizont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left"/>
    </xf>
    <xf numFmtId="0" fontId="8" fillId="0" borderId="0" xfId="0" applyFont="1" applyBorder="1"/>
    <xf numFmtId="0" fontId="8" fillId="0" borderId="1" xfId="3" applyFont="1" applyBorder="1" applyAlignment="1">
      <alignment horizontal="center" vertical="center" wrapText="1"/>
    </xf>
    <xf numFmtId="165" fontId="7" fillId="0" borderId="0" xfId="0" applyNumberFormat="1" applyFont="1" applyAlignment="1">
      <alignment horizontal="right"/>
    </xf>
    <xf numFmtId="0" fontId="7" fillId="0" borderId="1" xfId="0" applyFont="1" applyBorder="1" applyAlignment="1">
      <alignment vertical="top" wrapText="1"/>
    </xf>
    <xf numFmtId="165" fontId="8" fillId="0" borderId="1" xfId="0" applyNumberFormat="1" applyFont="1" applyBorder="1" applyAlignment="1">
      <alignment horizontal="center" vertical="center" wrapText="1"/>
    </xf>
    <xf numFmtId="0" fontId="7" fillId="0" borderId="1" xfId="0" applyFont="1" applyBorder="1"/>
    <xf numFmtId="0" fontId="7" fillId="0" borderId="2" xfId="0" applyFont="1" applyBorder="1" applyAlignment="1"/>
    <xf numFmtId="0" fontId="8" fillId="0" borderId="2" xfId="0" applyFont="1" applyBorder="1" applyAlignment="1"/>
    <xf numFmtId="0" fontId="7" fillId="0" borderId="0" xfId="0" applyFont="1" applyFill="1" applyAlignment="1">
      <alignment horizontal="right"/>
    </xf>
    <xf numFmtId="0" fontId="8" fillId="0" borderId="0" xfId="0" applyFont="1" applyAlignment="1">
      <alignment horizontal="center" vertical="top" wrapText="1"/>
    </xf>
    <xf numFmtId="168" fontId="7" fillId="0" borderId="1" xfId="0" applyNumberFormat="1" applyFont="1" applyBorder="1" applyAlignment="1"/>
    <xf numFmtId="165" fontId="8" fillId="0" borderId="0" xfId="0" applyNumberFormat="1" applyFont="1" applyBorder="1" applyAlignment="1">
      <alignment vertical="center" wrapText="1"/>
    </xf>
    <xf numFmtId="165" fontId="8" fillId="0" borderId="0" xfId="0" applyNumberFormat="1" applyFont="1" applyBorder="1" applyAlignment="1">
      <alignment horizontal="center" vertical="center" wrapText="1"/>
    </xf>
    <xf numFmtId="165" fontId="7" fillId="0" borderId="0" xfId="0" applyNumberFormat="1" applyFont="1" applyAlignment="1">
      <alignment horizontal="right" vertical="center" wrapText="1"/>
    </xf>
    <xf numFmtId="0" fontId="23" fillId="0" borderId="0" xfId="0" applyFont="1" applyAlignment="1"/>
    <xf numFmtId="0" fontId="7" fillId="0" borderId="0" xfId="0" applyFont="1" applyAlignment="1">
      <alignment horizontal="right" vertical="center" wrapText="1"/>
    </xf>
    <xf numFmtId="0" fontId="8" fillId="0" borderId="4" xfId="0" applyFont="1" applyBorder="1" applyAlignment="1">
      <alignment horizontal="center" vertical="center" wrapText="1"/>
    </xf>
    <xf numFmtId="0" fontId="24" fillId="0" borderId="1" xfId="0" applyFont="1" applyFill="1" applyBorder="1" applyAlignment="1">
      <alignment vertical="center" wrapText="1"/>
    </xf>
    <xf numFmtId="165" fontId="8" fillId="0" borderId="1" xfId="0" applyNumberFormat="1" applyFont="1" applyBorder="1" applyAlignment="1">
      <alignment horizontal="center"/>
    </xf>
    <xf numFmtId="165" fontId="7" fillId="0" borderId="0" xfId="0" applyNumberFormat="1" applyFont="1"/>
    <xf numFmtId="165" fontId="8" fillId="0" borderId="0" xfId="0" applyNumberFormat="1" applyFont="1" applyBorder="1" applyAlignment="1">
      <alignment horizontal="center"/>
    </xf>
    <xf numFmtId="0" fontId="7" fillId="0" borderId="1" xfId="0" applyFont="1" applyBorder="1" applyAlignment="1">
      <alignment horizontal="center" vertical="top"/>
    </xf>
    <xf numFmtId="0" fontId="6" fillId="0" borderId="1" xfId="0" applyFont="1" applyBorder="1" applyAlignment="1">
      <alignment vertical="center" wrapText="1"/>
    </xf>
    <xf numFmtId="0" fontId="11" fillId="0" borderId="1" xfId="0" applyFont="1" applyBorder="1" applyAlignment="1">
      <alignment wrapText="1"/>
    </xf>
    <xf numFmtId="0" fontId="26" fillId="0" borderId="0" xfId="0" applyFont="1"/>
    <xf numFmtId="0" fontId="7" fillId="2" borderId="0" xfId="0" applyFont="1" applyFill="1"/>
    <xf numFmtId="0" fontId="20" fillId="2" borderId="1" xfId="0" applyFont="1" applyFill="1" applyBorder="1" applyAlignment="1">
      <alignment horizontal="left" vertical="center" wrapText="1"/>
    </xf>
    <xf numFmtId="0" fontId="14" fillId="0" borderId="0" xfId="0" applyFont="1" applyAlignment="1">
      <alignment horizontal="center"/>
    </xf>
    <xf numFmtId="0" fontId="9" fillId="2" borderId="0" xfId="0" applyFont="1" applyFill="1"/>
    <xf numFmtId="0" fontId="19" fillId="2" borderId="0" xfId="0" applyFont="1" applyFill="1"/>
    <xf numFmtId="0" fontId="9" fillId="2" borderId="0" xfId="0" applyFont="1" applyFill="1" applyAlignment="1">
      <alignment wrapText="1"/>
    </xf>
    <xf numFmtId="0" fontId="10" fillId="2" borderId="1" xfId="0" applyFont="1" applyFill="1" applyBorder="1" applyAlignment="1">
      <alignment wrapText="1"/>
    </xf>
    <xf numFmtId="0" fontId="32" fillId="2" borderId="1" xfId="0" applyFont="1" applyFill="1" applyBorder="1" applyAlignment="1">
      <alignment horizontal="left" vertical="center" wrapText="1"/>
    </xf>
    <xf numFmtId="0" fontId="20" fillId="2" borderId="0" xfId="0" applyFont="1" applyFill="1"/>
    <xf numFmtId="0" fontId="9" fillId="2" borderId="1"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8" fillId="2" borderId="0" xfId="0" applyFont="1" applyFill="1"/>
    <xf numFmtId="0" fontId="30"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165" fontId="9" fillId="2" borderId="0" xfId="0" applyNumberFormat="1" applyFont="1" applyFill="1"/>
    <xf numFmtId="167" fontId="9" fillId="2" borderId="0" xfId="0" applyNumberFormat="1" applyFont="1" applyFill="1"/>
    <xf numFmtId="4" fontId="9" fillId="2" borderId="0" xfId="0" applyNumberFormat="1" applyFont="1" applyFill="1"/>
    <xf numFmtId="0" fontId="9" fillId="2" borderId="0" xfId="0" applyFont="1" applyFill="1" applyAlignment="1">
      <alignment horizontal="center"/>
    </xf>
    <xf numFmtId="166" fontId="9" fillId="2" borderId="0" xfId="0" applyNumberFormat="1" applyFont="1" applyFill="1"/>
    <xf numFmtId="4" fontId="10" fillId="2" borderId="0" xfId="0" applyNumberFormat="1" applyFont="1" applyFill="1"/>
    <xf numFmtId="4" fontId="10" fillId="2" borderId="0" xfId="0" applyNumberFormat="1" applyFont="1" applyFill="1" applyAlignment="1">
      <alignment horizontal="center"/>
    </xf>
    <xf numFmtId="166" fontId="9" fillId="2" borderId="0" xfId="0" applyNumberFormat="1" applyFont="1" applyFill="1" applyAlignment="1">
      <alignment horizontal="right"/>
    </xf>
    <xf numFmtId="166" fontId="29" fillId="2" borderId="1" xfId="0" applyNumberFormat="1" applyFont="1" applyFill="1" applyBorder="1" applyAlignment="1">
      <alignment horizontal="center" vertical="center" wrapText="1"/>
    </xf>
    <xf numFmtId="0" fontId="10" fillId="2" borderId="0" xfId="0" applyFont="1" applyFill="1"/>
    <xf numFmtId="0" fontId="31" fillId="2" borderId="0" xfId="0" applyFont="1" applyFill="1"/>
    <xf numFmtId="0" fontId="30" fillId="2" borderId="0" xfId="0" applyFont="1" applyFill="1"/>
    <xf numFmtId="0" fontId="10" fillId="2" borderId="1" xfId="0" applyFont="1" applyFill="1" applyBorder="1" applyAlignment="1">
      <alignment horizontal="center" vertical="center" wrapText="1"/>
    </xf>
    <xf numFmtId="0" fontId="0" fillId="0" borderId="0" xfId="0" applyFont="1"/>
    <xf numFmtId="49" fontId="31"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0" fontId="31"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0" fillId="3" borderId="1" xfId="0" applyFont="1" applyFill="1" applyBorder="1" applyAlignment="1">
      <alignment horizontal="center" vertical="center"/>
    </xf>
    <xf numFmtId="49" fontId="10" fillId="3" borderId="1" xfId="0" applyNumberFormat="1" applyFont="1" applyFill="1" applyBorder="1" applyAlignment="1">
      <alignment horizontal="center" vertical="center"/>
    </xf>
    <xf numFmtId="166" fontId="10" fillId="3"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xf numFmtId="166" fontId="10" fillId="2" borderId="1" xfId="0" applyNumberFormat="1" applyFont="1" applyFill="1" applyBorder="1" applyAlignment="1">
      <alignment horizontal="center" vertical="center"/>
    </xf>
    <xf numFmtId="0" fontId="30" fillId="2" borderId="1" xfId="0" applyFont="1" applyFill="1" applyBorder="1" applyAlignment="1">
      <alignment horizontal="center" vertical="center"/>
    </xf>
    <xf numFmtId="49" fontId="30" fillId="2" borderId="1" xfId="0" applyNumberFormat="1" applyFont="1" applyFill="1" applyBorder="1" applyAlignment="1">
      <alignment horizontal="center" vertical="center"/>
    </xf>
    <xf numFmtId="166" fontId="30" fillId="2" borderId="1" xfId="0" applyNumberFormat="1" applyFont="1" applyFill="1" applyBorder="1" applyAlignment="1">
      <alignment horizontal="center" vertical="center"/>
    </xf>
    <xf numFmtId="166" fontId="31" fillId="2" borderId="1" xfId="0" applyNumberFormat="1" applyFont="1" applyFill="1" applyBorder="1" applyAlignment="1">
      <alignment horizontal="center" vertical="center"/>
    </xf>
    <xf numFmtId="166"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166" fontId="9" fillId="2" borderId="9" xfId="0" applyNumberFormat="1" applyFont="1" applyFill="1" applyBorder="1" applyAlignment="1">
      <alignment horizontal="center" vertical="center"/>
    </xf>
    <xf numFmtId="49" fontId="33" fillId="2" borderId="1" xfId="0" applyNumberFormat="1" applyFont="1" applyFill="1" applyBorder="1" applyAlignment="1">
      <alignment horizontal="center" vertical="center"/>
    </xf>
    <xf numFmtId="49" fontId="36" fillId="2" borderId="1" xfId="0" applyNumberFormat="1" applyFont="1" applyFill="1" applyBorder="1" applyAlignment="1">
      <alignment horizontal="center" vertical="center"/>
    </xf>
    <xf numFmtId="49" fontId="31"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0" xfId="0" applyNumberFormat="1" applyFont="1" applyFill="1"/>
    <xf numFmtId="49" fontId="10" fillId="2" borderId="0" xfId="0" applyNumberFormat="1" applyFont="1" applyFill="1"/>
    <xf numFmtId="49" fontId="7" fillId="2" borderId="1" xfId="0" applyNumberFormat="1" applyFont="1" applyFill="1" applyBorder="1" applyAlignment="1">
      <alignment horizontal="center" vertical="center"/>
    </xf>
    <xf numFmtId="166" fontId="31" fillId="0" borderId="1" xfId="0" applyNumberFormat="1" applyFont="1" applyFill="1" applyBorder="1" applyAlignment="1">
      <alignment horizontal="center" vertical="center"/>
    </xf>
    <xf numFmtId="166" fontId="10" fillId="0" borderId="1" xfId="0" applyNumberFormat="1" applyFont="1" applyFill="1" applyBorder="1" applyAlignment="1">
      <alignment horizontal="center" vertical="center"/>
    </xf>
    <xf numFmtId="0" fontId="10" fillId="3" borderId="1" xfId="0" applyFont="1" applyFill="1" applyBorder="1" applyAlignment="1">
      <alignment horizontal="left" vertical="center" wrapText="1"/>
    </xf>
    <xf numFmtId="0" fontId="9" fillId="2" borderId="0" xfId="0" applyFont="1" applyFill="1" applyAlignment="1">
      <alignment horizontal="left" vertical="center" wrapText="1"/>
    </xf>
    <xf numFmtId="0" fontId="34"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9" fillId="2" borderId="0" xfId="0" applyFont="1" applyFill="1" applyAlignment="1">
      <alignment horizontal="left" vertical="center"/>
    </xf>
    <xf numFmtId="49" fontId="7" fillId="0" borderId="1" xfId="0" applyNumberFormat="1" applyFont="1" applyFill="1" applyBorder="1" applyAlignment="1">
      <alignment horizontal="center" vertical="center"/>
    </xf>
    <xf numFmtId="49" fontId="20" fillId="0" borderId="1" xfId="0" applyNumberFormat="1" applyFont="1" applyFill="1" applyBorder="1" applyAlignment="1">
      <alignment horizontal="center" vertical="center"/>
    </xf>
    <xf numFmtId="49" fontId="19" fillId="3" borderId="1"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xf>
    <xf numFmtId="49" fontId="20"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7"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21" fillId="0" borderId="1" xfId="0" applyFont="1" applyBorder="1" applyAlignment="1">
      <alignment horizontal="left" vertical="center" wrapText="1"/>
    </xf>
    <xf numFmtId="0" fontId="18" fillId="3" borderId="1" xfId="0" applyFont="1" applyFill="1" applyBorder="1" applyAlignment="1">
      <alignment horizontal="left" vertical="center" wrapText="1"/>
    </xf>
    <xf numFmtId="0" fontId="0" fillId="0" borderId="0" xfId="0" applyAlignment="1">
      <alignment horizontal="center" vertical="center"/>
    </xf>
    <xf numFmtId="0" fontId="8" fillId="3" borderId="1" xfId="0" applyFont="1" applyFill="1" applyBorder="1" applyAlignment="1">
      <alignment horizontal="left" vertical="center" wrapText="1"/>
    </xf>
    <xf numFmtId="49" fontId="20" fillId="2" borderId="1" xfId="0" applyNumberFormat="1" applyFont="1" applyFill="1" applyBorder="1" applyAlignment="1">
      <alignment horizontal="center" vertical="center"/>
    </xf>
    <xf numFmtId="166" fontId="8" fillId="3"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xf>
    <xf numFmtId="166" fontId="7" fillId="0" borderId="1" xfId="0" applyNumberFormat="1" applyFont="1" applyBorder="1" applyAlignment="1">
      <alignment horizontal="center" vertical="center"/>
    </xf>
    <xf numFmtId="166" fontId="10" fillId="2" borderId="0" xfId="0" applyNumberFormat="1" applyFont="1" applyFill="1"/>
    <xf numFmtId="0" fontId="9" fillId="2" borderId="1" xfId="0" applyFont="1" applyFill="1" applyBorder="1" applyAlignment="1">
      <alignment wrapText="1"/>
    </xf>
    <xf numFmtId="166"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0" fillId="0" borderId="0" xfId="0" applyFill="1"/>
    <xf numFmtId="0" fontId="32" fillId="0" borderId="1" xfId="0" applyFont="1" applyFill="1" applyBorder="1" applyAlignment="1">
      <alignment horizontal="left" vertical="center" wrapText="1"/>
    </xf>
    <xf numFmtId="0" fontId="34" fillId="0" borderId="1" xfId="0" applyFont="1" applyBorder="1" applyAlignment="1">
      <alignment horizontal="left" vertical="center" wrapText="1"/>
    </xf>
    <xf numFmtId="0" fontId="9" fillId="0" borderId="1" xfId="0" applyFont="1" applyFill="1" applyBorder="1" applyAlignment="1">
      <alignment horizontal="center" vertical="center"/>
    </xf>
    <xf numFmtId="0" fontId="9" fillId="0" borderId="0" xfId="0" applyFont="1" applyFill="1"/>
    <xf numFmtId="0" fontId="7" fillId="0" borderId="0" xfId="0" applyFont="1" applyAlignment="1"/>
    <xf numFmtId="0" fontId="31" fillId="4" borderId="0" xfId="0" applyFont="1" applyFill="1"/>
    <xf numFmtId="0" fontId="31" fillId="0" borderId="1" xfId="0" applyFont="1" applyFill="1" applyBorder="1" applyAlignment="1">
      <alignment horizontal="left" vertical="center" wrapText="1"/>
    </xf>
    <xf numFmtId="49" fontId="31" fillId="0" borderId="1" xfId="0" applyNumberFormat="1" applyFont="1" applyFill="1" applyBorder="1" applyAlignment="1">
      <alignment horizontal="center" vertical="center"/>
    </xf>
    <xf numFmtId="0" fontId="31" fillId="0" borderId="0" xfId="0" applyFont="1" applyFill="1"/>
    <xf numFmtId="0" fontId="30" fillId="0" borderId="0" xfId="0" applyFont="1" applyFill="1"/>
    <xf numFmtId="0" fontId="29" fillId="2" borderId="1" xfId="0" applyFont="1" applyFill="1" applyBorder="1" applyAlignment="1">
      <alignment horizontal="center" vertical="center" wrapText="1"/>
    </xf>
    <xf numFmtId="0" fontId="34" fillId="2" borderId="1" xfId="0" applyFont="1" applyFill="1" applyBorder="1" applyAlignment="1">
      <alignment wrapText="1"/>
    </xf>
    <xf numFmtId="0" fontId="9" fillId="2" borderId="1" xfId="0" applyFont="1" applyFill="1" applyBorder="1" applyAlignment="1">
      <alignment horizontal="left" wrapText="1"/>
    </xf>
    <xf numFmtId="0" fontId="10" fillId="2" borderId="1" xfId="0" applyFont="1" applyFill="1" applyBorder="1" applyAlignment="1">
      <alignment horizontal="left" wrapText="1"/>
    </xf>
    <xf numFmtId="0" fontId="32" fillId="2" borderId="1" xfId="0" applyFont="1" applyFill="1" applyBorder="1" applyAlignment="1">
      <alignment wrapText="1"/>
    </xf>
    <xf numFmtId="166" fontId="7" fillId="3" borderId="1" xfId="0" applyNumberFormat="1" applyFont="1" applyFill="1" applyBorder="1" applyAlignment="1">
      <alignment horizontal="center" vertical="center"/>
    </xf>
    <xf numFmtId="0" fontId="0" fillId="0" borderId="0" xfId="0" applyFont="1" applyAlignment="1">
      <alignment horizontal="center"/>
    </xf>
    <xf numFmtId="49" fontId="7" fillId="2"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center" vertical="center"/>
    </xf>
    <xf numFmtId="0" fontId="10" fillId="5" borderId="1" xfId="0" applyFont="1" applyFill="1" applyBorder="1" applyAlignment="1">
      <alignment horizontal="center" vertical="center"/>
    </xf>
    <xf numFmtId="0" fontId="9" fillId="0" borderId="1" xfId="5" applyNumberFormat="1" applyFont="1" applyBorder="1" applyAlignment="1">
      <alignment wrapText="1"/>
    </xf>
    <xf numFmtId="0" fontId="31" fillId="6" borderId="1" xfId="0" applyFont="1" applyFill="1" applyBorder="1" applyAlignment="1">
      <alignment horizontal="left" vertical="center" wrapText="1"/>
    </xf>
    <xf numFmtId="0" fontId="31" fillId="6" borderId="1" xfId="0" applyFont="1" applyFill="1" applyBorder="1" applyAlignment="1">
      <alignment horizontal="center" vertical="center"/>
    </xf>
    <xf numFmtId="49" fontId="31" fillId="6" borderId="1" xfId="0" applyNumberFormat="1" applyFont="1" applyFill="1" applyBorder="1" applyAlignment="1">
      <alignment horizontal="center" vertical="center"/>
    </xf>
    <xf numFmtId="0" fontId="31" fillId="6" borderId="1" xfId="0" applyFont="1" applyFill="1" applyBorder="1" applyAlignment="1">
      <alignment horizontal="center" vertical="center" wrapText="1"/>
    </xf>
    <xf numFmtId="166" fontId="31" fillId="6" borderId="1" xfId="0" applyNumberFormat="1" applyFont="1" applyFill="1" applyBorder="1" applyAlignment="1">
      <alignment horizontal="center" vertical="center"/>
    </xf>
    <xf numFmtId="0" fontId="31" fillId="7" borderId="1" xfId="0" applyFont="1" applyFill="1" applyBorder="1" applyAlignment="1">
      <alignment horizontal="left" vertical="center" wrapText="1"/>
    </xf>
    <xf numFmtId="0" fontId="31" fillId="7" borderId="1" xfId="0" applyFont="1" applyFill="1" applyBorder="1" applyAlignment="1">
      <alignment horizontal="center" vertical="center"/>
    </xf>
    <xf numFmtId="49" fontId="31" fillId="7" borderId="1" xfId="0" applyNumberFormat="1" applyFont="1" applyFill="1" applyBorder="1" applyAlignment="1">
      <alignment horizontal="center" vertical="center"/>
    </xf>
    <xf numFmtId="166" fontId="31" fillId="7" borderId="1" xfId="0" applyNumberFormat="1" applyFont="1" applyFill="1" applyBorder="1" applyAlignment="1">
      <alignment horizontal="center" vertical="center"/>
    </xf>
    <xf numFmtId="0" fontId="30" fillId="6" borderId="1" xfId="0" applyFont="1" applyFill="1" applyBorder="1" applyAlignment="1">
      <alignment horizontal="center" vertical="center"/>
    </xf>
    <xf numFmtId="49" fontId="30" fillId="6" borderId="1" xfId="0" applyNumberFormat="1" applyFont="1" applyFill="1" applyBorder="1" applyAlignment="1">
      <alignment horizontal="center" vertical="center"/>
    </xf>
    <xf numFmtId="49" fontId="9" fillId="6" borderId="1" xfId="0" applyNumberFormat="1" applyFont="1" applyFill="1" applyBorder="1" applyAlignment="1">
      <alignment horizontal="center" vertical="center"/>
    </xf>
    <xf numFmtId="166" fontId="30" fillId="6" borderId="1" xfId="0" applyNumberFormat="1" applyFont="1" applyFill="1" applyBorder="1" applyAlignment="1">
      <alignment horizontal="center" vertical="center"/>
    </xf>
    <xf numFmtId="49" fontId="9" fillId="7" borderId="1" xfId="0" applyNumberFormat="1" applyFont="1" applyFill="1" applyBorder="1" applyAlignment="1">
      <alignment horizontal="center" vertical="center"/>
    </xf>
    <xf numFmtId="0" fontId="32" fillId="6" borderId="1" xfId="0" applyFont="1" applyFill="1" applyBorder="1" applyAlignment="1">
      <alignment horizontal="left" vertical="center" wrapText="1"/>
    </xf>
    <xf numFmtId="0" fontId="9" fillId="7" borderId="1" xfId="0" applyFont="1" applyFill="1" applyBorder="1" applyAlignment="1">
      <alignment horizontal="left" vertical="center" wrapText="1"/>
    </xf>
    <xf numFmtId="0" fontId="9" fillId="7" borderId="1" xfId="0" applyFont="1" applyFill="1" applyBorder="1" applyAlignment="1">
      <alignment horizontal="center" vertical="center"/>
    </xf>
    <xf numFmtId="0" fontId="31" fillId="0"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left" vertical="center" wrapText="1"/>
    </xf>
    <xf numFmtId="166" fontId="9" fillId="6" borderId="1" xfId="0" applyNumberFormat="1" applyFont="1" applyFill="1" applyBorder="1" applyAlignment="1">
      <alignment horizontal="center" vertical="center"/>
    </xf>
    <xf numFmtId="166" fontId="9" fillId="7" borderId="1" xfId="0" applyNumberFormat="1" applyFont="1" applyFill="1" applyBorder="1" applyAlignment="1">
      <alignment horizontal="center" vertical="center"/>
    </xf>
    <xf numFmtId="0" fontId="9" fillId="0" borderId="1" xfId="0" applyFont="1" applyBorder="1" applyAlignment="1">
      <alignment wrapText="1"/>
    </xf>
    <xf numFmtId="169" fontId="19" fillId="2" borderId="0" xfId="0" applyNumberFormat="1" applyFont="1" applyFill="1"/>
    <xf numFmtId="169" fontId="7" fillId="2" borderId="0" xfId="0" applyNumberFormat="1" applyFont="1" applyFill="1"/>
    <xf numFmtId="0" fontId="11" fillId="0" borderId="0" xfId="0" applyFont="1"/>
    <xf numFmtId="166" fontId="9" fillId="8" borderId="1" xfId="0" applyNumberFormat="1" applyFont="1" applyFill="1" applyBorder="1" applyAlignment="1">
      <alignment horizontal="center" vertical="center"/>
    </xf>
    <xf numFmtId="49" fontId="31" fillId="8" borderId="1" xfId="0" applyNumberFormat="1" applyFont="1" applyFill="1" applyBorder="1" applyAlignment="1">
      <alignment horizontal="center" vertical="center"/>
    </xf>
    <xf numFmtId="166" fontId="31" fillId="8" borderId="1" xfId="0" applyNumberFormat="1" applyFont="1" applyFill="1" applyBorder="1" applyAlignment="1">
      <alignment horizontal="center" vertical="center"/>
    </xf>
    <xf numFmtId="0" fontId="31" fillId="8" borderId="0" xfId="0" applyFont="1" applyFill="1"/>
    <xf numFmtId="0" fontId="35" fillId="8" borderId="0" xfId="4" applyNumberFormat="1" applyFont="1" applyFill="1" applyBorder="1" applyAlignment="1">
      <alignment horizontal="left" wrapText="1"/>
    </xf>
    <xf numFmtId="49" fontId="9" fillId="8" borderId="1" xfId="0" applyNumberFormat="1" applyFont="1" applyFill="1" applyBorder="1" applyAlignment="1">
      <alignment horizontal="center" vertical="center"/>
    </xf>
    <xf numFmtId="166" fontId="31" fillId="8" borderId="0" xfId="0" applyNumberFormat="1" applyFont="1" applyFill="1"/>
    <xf numFmtId="0" fontId="9" fillId="8" borderId="1" xfId="0" applyFont="1" applyFill="1" applyBorder="1" applyAlignment="1">
      <alignment horizontal="left" vertical="center" wrapText="1"/>
    </xf>
    <xf numFmtId="0" fontId="9" fillId="8" borderId="0" xfId="0" applyFont="1" applyFill="1"/>
    <xf numFmtId="0" fontId="34" fillId="8" borderId="1" xfId="0" applyFont="1" applyFill="1" applyBorder="1" applyAlignment="1">
      <alignment horizontal="lef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5" borderId="1" xfId="0" applyFont="1" applyFill="1" applyBorder="1" applyAlignment="1">
      <alignment horizontal="center" vertical="center"/>
    </xf>
    <xf numFmtId="166" fontId="30" fillId="2" borderId="0" xfId="0" applyNumberFormat="1" applyFont="1" applyFill="1"/>
    <xf numFmtId="49" fontId="9" fillId="2" borderId="1" xfId="0" applyNumberFormat="1" applyFont="1" applyFill="1" applyBorder="1" applyAlignment="1">
      <alignment vertical="center"/>
    </xf>
    <xf numFmtId="0" fontId="0" fillId="8" borderId="0" xfId="0" applyFill="1"/>
    <xf numFmtId="166" fontId="0" fillId="0" borderId="0" xfId="0" applyNumberFormat="1" applyFill="1"/>
    <xf numFmtId="165" fontId="0" fillId="0" borderId="0" xfId="0" applyNumberFormat="1" applyFill="1"/>
    <xf numFmtId="0" fontId="7" fillId="0" borderId="0" xfId="0" applyFont="1" applyBorder="1" applyAlignment="1"/>
    <xf numFmtId="0" fontId="21" fillId="2" borderId="1" xfId="0" applyFont="1" applyFill="1" applyBorder="1" applyAlignment="1">
      <alignment horizontal="left" vertical="center" wrapText="1"/>
    </xf>
    <xf numFmtId="0" fontId="32" fillId="8" borderId="1" xfId="0" applyFont="1" applyFill="1" applyBorder="1" applyAlignment="1">
      <alignment horizontal="left" vertical="center" wrapText="1"/>
    </xf>
    <xf numFmtId="0" fontId="30" fillId="8" borderId="0" xfId="0" applyFont="1" applyFill="1"/>
    <xf numFmtId="0" fontId="31" fillId="8" borderId="1" xfId="0" applyFont="1" applyFill="1" applyBorder="1" applyAlignment="1">
      <alignment horizontal="left" vertical="center" wrapText="1"/>
    </xf>
    <xf numFmtId="166" fontId="30" fillId="8" borderId="1" xfId="0" applyNumberFormat="1" applyFont="1" applyFill="1" applyBorder="1" applyAlignment="1">
      <alignment horizontal="center" vertical="center"/>
    </xf>
    <xf numFmtId="0" fontId="39" fillId="0" borderId="1" xfId="5" applyNumberFormat="1" applyFont="1" applyBorder="1" applyAlignment="1">
      <alignment wrapText="1"/>
    </xf>
    <xf numFmtId="166" fontId="7" fillId="0" borderId="1"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166" fontId="7" fillId="0" borderId="1" xfId="0" applyNumberFormat="1" applyFont="1" applyBorder="1" applyAlignment="1"/>
    <xf numFmtId="0" fontId="7" fillId="0" borderId="10" xfId="0" applyFont="1" applyBorder="1" applyAlignment="1"/>
    <xf numFmtId="0" fontId="7" fillId="0" borderId="5" xfId="0" applyFont="1" applyBorder="1" applyAlignment="1">
      <alignment wrapText="1"/>
    </xf>
    <xf numFmtId="49" fontId="8" fillId="5" borderId="1" xfId="0" applyNumberFormat="1" applyFont="1" applyFill="1" applyBorder="1" applyAlignment="1">
      <alignment horizontal="center" vertical="center"/>
    </xf>
    <xf numFmtId="0" fontId="34" fillId="0" borderId="1" xfId="0" applyFont="1" applyBorder="1" applyAlignment="1">
      <alignment horizontal="center" vertical="center"/>
    </xf>
    <xf numFmtId="0" fontId="9" fillId="8" borderId="1" xfId="0" applyFont="1" applyFill="1" applyBorder="1" applyAlignment="1">
      <alignment wrapText="1"/>
    </xf>
    <xf numFmtId="166" fontId="9" fillId="0" borderId="1" xfId="5" applyNumberFormat="1" applyFont="1" applyBorder="1" applyAlignment="1">
      <alignment horizontal="center" wrapText="1"/>
    </xf>
    <xf numFmtId="0" fontId="49" fillId="0" borderId="1" xfId="0" applyFont="1" applyFill="1" applyBorder="1" applyAlignment="1">
      <alignment horizontal="left" vertical="center" wrapText="1"/>
    </xf>
    <xf numFmtId="49" fontId="49" fillId="0" borderId="1" xfId="0" applyNumberFormat="1" applyFont="1" applyFill="1" applyBorder="1" applyAlignment="1">
      <alignment horizontal="center" vertical="center"/>
    </xf>
    <xf numFmtId="166" fontId="49" fillId="0" borderId="1" xfId="0" applyNumberFormat="1" applyFont="1" applyFill="1" applyBorder="1" applyAlignment="1">
      <alignment horizontal="center" vertical="center"/>
    </xf>
    <xf numFmtId="166" fontId="7" fillId="0" borderId="0" xfId="0" applyNumberFormat="1" applyFont="1"/>
    <xf numFmtId="166" fontId="8" fillId="0" borderId="0" xfId="0" applyNumberFormat="1" applyFont="1"/>
    <xf numFmtId="0" fontId="9" fillId="2" borderId="1" xfId="1" applyFont="1" applyFill="1" applyBorder="1" applyAlignment="1" applyProtection="1">
      <alignment horizontal="left" vertical="center" wrapText="1"/>
    </xf>
    <xf numFmtId="0" fontId="9" fillId="0" borderId="1" xfId="0" applyFont="1" applyFill="1" applyBorder="1" applyAlignment="1">
      <alignment wrapText="1"/>
    </xf>
    <xf numFmtId="49" fontId="30" fillId="2" borderId="1" xfId="0" applyNumberFormat="1" applyFont="1" applyFill="1" applyBorder="1" applyAlignment="1">
      <alignment horizontal="center" vertical="center" wrapText="1"/>
    </xf>
    <xf numFmtId="0" fontId="9" fillId="2" borderId="9" xfId="0" applyFont="1" applyFill="1" applyBorder="1" applyAlignment="1">
      <alignment wrapText="1"/>
    </xf>
    <xf numFmtId="169" fontId="10" fillId="2" borderId="9" xfId="0" applyNumberFormat="1" applyFont="1" applyFill="1" applyBorder="1" applyAlignment="1">
      <alignment horizontal="center" vertical="center"/>
    </xf>
    <xf numFmtId="169" fontId="9" fillId="2" borderId="9" xfId="0" applyNumberFormat="1" applyFont="1" applyFill="1" applyBorder="1" applyAlignment="1">
      <alignment horizontal="center" vertical="center"/>
    </xf>
    <xf numFmtId="166" fontId="9" fillId="0" borderId="9" xfId="0" applyNumberFormat="1" applyFont="1" applyFill="1" applyBorder="1" applyAlignment="1">
      <alignment horizontal="center" vertical="center"/>
    </xf>
    <xf numFmtId="0" fontId="34" fillId="0" borderId="1" xfId="0" applyFont="1" applyFill="1" applyBorder="1" applyAlignment="1">
      <alignment horizontal="left" vertical="center" wrapText="1"/>
    </xf>
    <xf numFmtId="0" fontId="9" fillId="2" borderId="0" xfId="0" applyFont="1" applyFill="1" applyBorder="1" applyAlignment="1">
      <alignment wrapText="1"/>
    </xf>
    <xf numFmtId="0" fontId="9" fillId="2" borderId="0" xfId="0" applyFont="1" applyFill="1" applyBorder="1"/>
    <xf numFmtId="49" fontId="9" fillId="2" borderId="0" xfId="0" applyNumberFormat="1" applyFont="1" applyFill="1" applyBorder="1"/>
    <xf numFmtId="0" fontId="10" fillId="0" borderId="1" xfId="0" applyFont="1" applyFill="1" applyBorder="1" applyAlignment="1">
      <alignment wrapText="1"/>
    </xf>
    <xf numFmtId="49" fontId="30" fillId="0" borderId="1" xfId="0" applyNumberFormat="1" applyFont="1" applyFill="1" applyBorder="1" applyAlignment="1">
      <alignment horizontal="center" vertical="center"/>
    </xf>
    <xf numFmtId="0" fontId="21" fillId="2" borderId="1" xfId="0" applyFont="1" applyFill="1" applyBorder="1" applyAlignment="1">
      <alignment wrapText="1"/>
    </xf>
    <xf numFmtId="0" fontId="0" fillId="0" borderId="0" xfId="0" applyFill="1" applyBorder="1"/>
    <xf numFmtId="0" fontId="8" fillId="9" borderId="1" xfId="0" applyFont="1" applyFill="1" applyBorder="1" applyAlignment="1">
      <alignment horizontal="left" vertical="center" wrapText="1"/>
    </xf>
    <xf numFmtId="49" fontId="8" fillId="9" borderId="1" xfId="0" applyNumberFormat="1" applyFont="1" applyFill="1" applyBorder="1" applyAlignment="1">
      <alignment horizontal="center" vertical="center"/>
    </xf>
    <xf numFmtId="0" fontId="40" fillId="0" borderId="0" xfId="0" applyFont="1"/>
    <xf numFmtId="10" fontId="40" fillId="0" borderId="0" xfId="0" applyNumberFormat="1" applyFont="1"/>
    <xf numFmtId="172" fontId="40" fillId="0" borderId="0" xfId="7" applyNumberFormat="1" applyFont="1"/>
    <xf numFmtId="0" fontId="40" fillId="0" borderId="0" xfId="0" applyFont="1" applyBorder="1"/>
    <xf numFmtId="0" fontId="40" fillId="0" borderId="0" xfId="0" applyFont="1" applyBorder="1" applyAlignment="1">
      <alignment horizontal="center"/>
    </xf>
    <xf numFmtId="165" fontId="40" fillId="0" borderId="0" xfId="0" applyNumberFormat="1" applyFont="1" applyBorder="1" applyAlignment="1">
      <alignment horizontal="center"/>
    </xf>
    <xf numFmtId="165" fontId="40" fillId="0" borderId="0" xfId="0" applyNumberFormat="1" applyFont="1" applyBorder="1"/>
    <xf numFmtId="165" fontId="41" fillId="0" borderId="1" xfId="0" applyNumberFormat="1" applyFont="1" applyBorder="1" applyAlignment="1">
      <alignment horizontal="center" vertical="top" wrapText="1"/>
    </xf>
    <xf numFmtId="0" fontId="42" fillId="0" borderId="0" xfId="0" applyFont="1"/>
    <xf numFmtId="172" fontId="42" fillId="0" borderId="0" xfId="7" applyNumberFormat="1" applyFont="1"/>
    <xf numFmtId="0" fontId="43" fillId="0" borderId="5" xfId="0" applyFont="1" applyBorder="1" applyAlignment="1">
      <alignment vertical="top" wrapText="1"/>
    </xf>
    <xf numFmtId="169" fontId="43" fillId="0" borderId="1" xfId="0" applyNumberFormat="1" applyFont="1" applyBorder="1" applyAlignment="1">
      <alignment horizontal="center" vertical="top" wrapText="1"/>
    </xf>
    <xf numFmtId="165" fontId="43" fillId="0" borderId="1" xfId="0" applyNumberFormat="1" applyFont="1" applyBorder="1" applyAlignment="1">
      <alignment horizontal="center" vertical="top" wrapText="1"/>
    </xf>
    <xf numFmtId="169" fontId="40" fillId="0" borderId="0" xfId="0" applyNumberFormat="1" applyFont="1"/>
    <xf numFmtId="0" fontId="43" fillId="0" borderId="8" xfId="0" applyFont="1" applyBorder="1" applyAlignment="1">
      <alignment vertical="top" wrapText="1"/>
    </xf>
    <xf numFmtId="0" fontId="40" fillId="0" borderId="8" xfId="0" applyFont="1" applyBorder="1" applyAlignment="1"/>
    <xf numFmtId="169" fontId="42" fillId="0" borderId="0" xfId="0" applyNumberFormat="1" applyFont="1"/>
    <xf numFmtId="10" fontId="40" fillId="0" borderId="0" xfId="7" applyNumberFormat="1" applyFont="1"/>
    <xf numFmtId="0" fontId="41" fillId="0" borderId="5" xfId="0" applyFont="1" applyBorder="1" applyAlignment="1">
      <alignment horizontal="center" vertical="center"/>
    </xf>
    <xf numFmtId="0" fontId="40" fillId="0" borderId="5" xfId="0" applyFont="1" applyBorder="1" applyAlignment="1"/>
    <xf numFmtId="0" fontId="41" fillId="0" borderId="8" xfId="0" applyFont="1" applyBorder="1" applyAlignment="1">
      <alignment horizontal="center" vertical="top" wrapText="1"/>
    </xf>
    <xf numFmtId="0" fontId="43" fillId="0" borderId="4" xfId="0" applyFont="1" applyBorder="1" applyAlignment="1">
      <alignment vertical="top" wrapText="1"/>
    </xf>
    <xf numFmtId="0" fontId="43" fillId="0" borderId="8" xfId="0" applyFont="1" applyBorder="1" applyAlignment="1">
      <alignment horizontal="center" vertical="top" wrapText="1"/>
    </xf>
    <xf numFmtId="0" fontId="41" fillId="0" borderId="4" xfId="0" applyFont="1" applyBorder="1" applyAlignment="1">
      <alignment horizontal="center" vertical="top" wrapText="1"/>
    </xf>
    <xf numFmtId="0" fontId="41" fillId="0" borderId="5" xfId="0" applyFont="1" applyBorder="1" applyAlignment="1">
      <alignment horizontal="center" vertical="top" wrapText="1"/>
    </xf>
    <xf numFmtId="0" fontId="43" fillId="0" borderId="5" xfId="0" applyFont="1" applyBorder="1" applyAlignment="1">
      <alignment horizontal="center" vertical="top" wrapText="1"/>
    </xf>
    <xf numFmtId="0" fontId="43" fillId="0" borderId="1" xfId="6" applyFont="1" applyFill="1" applyBorder="1" applyAlignment="1">
      <alignment horizontal="justify" vertical="center" wrapText="1"/>
    </xf>
    <xf numFmtId="0" fontId="40" fillId="0" borderId="8" xfId="0" applyFont="1" applyBorder="1"/>
    <xf numFmtId="0" fontId="42" fillId="0" borderId="4" xfId="0" applyFont="1" applyBorder="1"/>
    <xf numFmtId="0" fontId="41" fillId="0" borderId="1" xfId="0" applyFont="1" applyFill="1" applyBorder="1" applyAlignment="1">
      <alignment horizontal="center" vertical="top" wrapText="1"/>
    </xf>
    <xf numFmtId="0" fontId="41" fillId="0" borderId="1" xfId="0" applyFont="1" applyFill="1" applyBorder="1" applyAlignment="1">
      <alignment horizontal="left" vertical="top" wrapText="1"/>
    </xf>
    <xf numFmtId="169" fontId="41" fillId="0" borderId="1" xfId="0" applyNumberFormat="1" applyFont="1" applyFill="1" applyBorder="1" applyAlignment="1">
      <alignment horizontal="center" vertical="top" wrapText="1"/>
    </xf>
    <xf numFmtId="165" fontId="41" fillId="0" borderId="1" xfId="0" applyNumberFormat="1" applyFont="1" applyFill="1" applyBorder="1" applyAlignment="1">
      <alignment horizontal="center" vertical="top" wrapText="1"/>
    </xf>
    <xf numFmtId="0" fontId="43" fillId="0" borderId="4" xfId="0" applyFont="1" applyBorder="1" applyAlignment="1">
      <alignment horizontal="center" vertical="top" wrapText="1"/>
    </xf>
    <xf numFmtId="0" fontId="41" fillId="0" borderId="8" xfId="0" applyFont="1" applyBorder="1" applyAlignment="1">
      <alignment horizontal="center"/>
    </xf>
    <xf numFmtId="0" fontId="40" fillId="0" borderId="5" xfId="0" applyFont="1" applyBorder="1"/>
    <xf numFmtId="10" fontId="39" fillId="0" borderId="0" xfId="0" applyNumberFormat="1" applyFont="1"/>
    <xf numFmtId="9" fontId="40" fillId="0" borderId="0" xfId="0" applyNumberFormat="1" applyFont="1"/>
    <xf numFmtId="0" fontId="40" fillId="0" borderId="4" xfId="0" applyFont="1" applyBorder="1"/>
    <xf numFmtId="0" fontId="41" fillId="0" borderId="4" xfId="0" applyFont="1" applyBorder="1" applyAlignment="1">
      <alignment horizontal="center"/>
    </xf>
    <xf numFmtId="0" fontId="40" fillId="0" borderId="1" xfId="0" applyFont="1" applyBorder="1"/>
    <xf numFmtId="0" fontId="40" fillId="0" borderId="11" xfId="0" applyFont="1" applyBorder="1"/>
    <xf numFmtId="165" fontId="40" fillId="0" borderId="12" xfId="0" applyNumberFormat="1" applyFont="1" applyBorder="1"/>
    <xf numFmtId="4" fontId="9" fillId="0" borderId="0" xfId="0" applyNumberFormat="1" applyFont="1" applyFill="1"/>
    <xf numFmtId="0" fontId="9" fillId="0" borderId="0" xfId="0" applyFont="1" applyFill="1" applyAlignment="1">
      <alignment wrapText="1"/>
    </xf>
    <xf numFmtId="0" fontId="10" fillId="3" borderId="1" xfId="0" applyFont="1" applyFill="1" applyBorder="1" applyAlignment="1">
      <alignment horizontal="center" vertical="top" wrapText="1"/>
    </xf>
    <xf numFmtId="0" fontId="29" fillId="3" borderId="1" xfId="0" applyFont="1" applyFill="1" applyBorder="1" applyAlignment="1">
      <alignment horizontal="center" vertical="top" wrapText="1"/>
    </xf>
    <xf numFmtId="0" fontId="10" fillId="3" borderId="1" xfId="0" applyFont="1" applyFill="1" applyBorder="1" applyAlignment="1">
      <alignment vertical="top" wrapText="1"/>
    </xf>
    <xf numFmtId="0" fontId="9" fillId="0" borderId="1" xfId="0" applyFont="1" applyFill="1" applyBorder="1" applyAlignment="1">
      <alignment horizontal="center" vertical="top" wrapText="1"/>
    </xf>
    <xf numFmtId="0" fontId="34" fillId="0" borderId="1" xfId="0" applyFont="1" applyFill="1" applyBorder="1" applyAlignment="1">
      <alignment horizontal="center" vertical="top" wrapText="1"/>
    </xf>
    <xf numFmtId="0" fontId="9" fillId="0" borderId="1" xfId="0" applyFont="1" applyFill="1" applyBorder="1" applyAlignment="1">
      <alignment vertical="top" wrapText="1"/>
    </xf>
    <xf numFmtId="0" fontId="9" fillId="8" borderId="1" xfId="0" applyFont="1" applyFill="1" applyBorder="1" applyAlignment="1">
      <alignment horizontal="center" vertical="top" wrapText="1"/>
    </xf>
    <xf numFmtId="0" fontId="9" fillId="8" borderId="1" xfId="0" applyFont="1" applyFill="1" applyBorder="1" applyAlignment="1">
      <alignment vertical="top" wrapText="1"/>
    </xf>
    <xf numFmtId="0" fontId="9" fillId="8" borderId="0" xfId="0" applyFont="1" applyFill="1" applyAlignment="1">
      <alignment vertical="top"/>
    </xf>
    <xf numFmtId="0" fontId="9" fillId="0" borderId="0" xfId="0" applyFont="1" applyFill="1" applyAlignment="1">
      <alignment vertical="top"/>
    </xf>
    <xf numFmtId="0" fontId="9" fillId="0" borderId="0" xfId="0" applyFont="1" applyFill="1" applyAlignment="1">
      <alignment vertical="top" wrapText="1"/>
    </xf>
    <xf numFmtId="0" fontId="9" fillId="0" borderId="1" xfId="0" applyFont="1" applyBorder="1" applyAlignment="1">
      <alignment horizontal="center" vertical="top"/>
    </xf>
    <xf numFmtId="0" fontId="9" fillId="0" borderId="1" xfId="0" applyFont="1" applyBorder="1" applyAlignment="1">
      <alignment vertical="top" wrapText="1"/>
    </xf>
    <xf numFmtId="0" fontId="9" fillId="0" borderId="1" xfId="0" applyFont="1" applyFill="1" applyBorder="1" applyAlignment="1">
      <alignment horizontal="justify" vertical="top" wrapText="1"/>
    </xf>
    <xf numFmtId="0" fontId="29" fillId="3" borderId="1" xfId="0" applyFont="1" applyFill="1" applyBorder="1" applyAlignment="1">
      <alignment vertical="top" wrapText="1"/>
    </xf>
    <xf numFmtId="0" fontId="34" fillId="0" borderId="1" xfId="0" applyFont="1" applyFill="1" applyBorder="1" applyAlignment="1">
      <alignment vertical="top" wrapText="1"/>
    </xf>
    <xf numFmtId="0" fontId="10" fillId="3" borderId="1" xfId="0" applyFont="1" applyFill="1" applyBorder="1" applyAlignment="1">
      <alignment horizontal="justify" vertical="top" wrapText="1"/>
    </xf>
    <xf numFmtId="0" fontId="46" fillId="3" borderId="1" xfId="0" applyFont="1" applyFill="1" applyBorder="1"/>
    <xf numFmtId="0" fontId="9" fillId="5" borderId="1" xfId="0" applyFont="1" applyFill="1" applyBorder="1"/>
    <xf numFmtId="0" fontId="9" fillId="5" borderId="1" xfId="0" applyFont="1" applyFill="1" applyBorder="1" applyAlignment="1">
      <alignment wrapText="1"/>
    </xf>
    <xf numFmtId="0" fontId="46" fillId="0" borderId="1" xfId="0" applyFont="1" applyBorder="1" applyAlignment="1">
      <alignment horizontal="center"/>
    </xf>
    <xf numFmtId="0" fontId="45" fillId="0" borderId="1" xfId="0" applyFont="1" applyBorder="1"/>
    <xf numFmtId="0" fontId="45" fillId="0" borderId="1" xfId="0" applyFont="1" applyFill="1" applyBorder="1"/>
    <xf numFmtId="0" fontId="46" fillId="3" borderId="1" xfId="0" applyFont="1" applyFill="1" applyBorder="1" applyAlignment="1">
      <alignment horizontal="center"/>
    </xf>
    <xf numFmtId="166" fontId="10" fillId="3" borderId="1" xfId="0" applyNumberFormat="1" applyFont="1" applyFill="1" applyBorder="1" applyAlignment="1">
      <alignment horizontal="center" vertical="top" wrapText="1"/>
    </xf>
    <xf numFmtId="166" fontId="9" fillId="0" borderId="1" xfId="0" applyNumberFormat="1" applyFont="1" applyFill="1" applyBorder="1" applyAlignment="1">
      <alignment horizontal="center" vertical="top" wrapText="1"/>
    </xf>
    <xf numFmtId="166" fontId="9" fillId="8" borderId="1" xfId="0" applyNumberFormat="1" applyFont="1" applyFill="1" applyBorder="1" applyAlignment="1">
      <alignment horizontal="center" vertical="top" wrapText="1"/>
    </xf>
    <xf numFmtId="166" fontId="10" fillId="5" borderId="1" xfId="0" applyNumberFormat="1" applyFont="1" applyFill="1" applyBorder="1" applyAlignment="1">
      <alignment horizontal="center" vertical="top" wrapText="1"/>
    </xf>
    <xf numFmtId="0" fontId="7" fillId="8" borderId="1" xfId="0" applyFont="1" applyFill="1" applyBorder="1" applyAlignment="1">
      <alignment horizontal="left" vertical="center" wrapText="1"/>
    </xf>
    <xf numFmtId="169" fontId="0" fillId="0" borderId="0" xfId="0" applyNumberFormat="1" applyFont="1"/>
    <xf numFmtId="0" fontId="7" fillId="0" borderId="1" xfId="0" applyFont="1" applyFill="1" applyBorder="1" applyAlignment="1">
      <alignment horizontal="center" vertical="center"/>
    </xf>
    <xf numFmtId="49" fontId="7" fillId="9" borderId="1" xfId="0" applyNumberFormat="1" applyFont="1" applyFill="1" applyBorder="1" applyAlignment="1">
      <alignment horizontal="center" vertical="center"/>
    </xf>
    <xf numFmtId="49" fontId="19" fillId="9" borderId="1" xfId="0" applyNumberFormat="1" applyFont="1" applyFill="1" applyBorder="1" applyAlignment="1">
      <alignment horizontal="center" vertical="center"/>
    </xf>
    <xf numFmtId="0" fontId="8" fillId="5" borderId="1" xfId="0" applyFont="1" applyFill="1" applyBorder="1" applyAlignment="1">
      <alignment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30" fillId="0" borderId="1" xfId="0" applyFont="1" applyFill="1" applyBorder="1" applyAlignment="1">
      <alignment horizontal="left" vertical="center" wrapText="1"/>
    </xf>
    <xf numFmtId="166" fontId="30" fillId="0" borderId="1" xfId="0" applyNumberFormat="1" applyFont="1" applyFill="1" applyBorder="1" applyAlignment="1">
      <alignment horizontal="center" vertical="center"/>
    </xf>
    <xf numFmtId="169" fontId="10" fillId="2" borderId="0" xfId="0" applyNumberFormat="1" applyFont="1" applyFill="1" applyBorder="1" applyAlignment="1">
      <alignment vertical="center" wrapText="1"/>
    </xf>
    <xf numFmtId="0" fontId="31" fillId="8" borderId="1" xfId="0" applyFont="1" applyFill="1" applyBorder="1" applyAlignment="1">
      <alignment horizontal="center" vertical="center"/>
    </xf>
    <xf numFmtId="0" fontId="9" fillId="8" borderId="1" xfId="0" applyFont="1" applyFill="1" applyBorder="1" applyAlignment="1">
      <alignment horizontal="center" vertical="center"/>
    </xf>
    <xf numFmtId="0" fontId="30" fillId="8" borderId="1" xfId="0" applyFont="1" applyFill="1" applyBorder="1" applyAlignment="1">
      <alignment horizontal="left" vertical="center" wrapText="1"/>
    </xf>
    <xf numFmtId="0" fontId="10" fillId="8" borderId="1" xfId="0" applyFont="1" applyFill="1" applyBorder="1" applyAlignment="1">
      <alignment horizontal="center" vertical="center"/>
    </xf>
    <xf numFmtId="49" fontId="30" fillId="8"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166"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49" fontId="7" fillId="10" borderId="1" xfId="0" applyNumberFormat="1" applyFont="1" applyFill="1" applyBorder="1" applyAlignment="1">
      <alignment horizontal="center" vertical="center"/>
    </xf>
    <xf numFmtId="166" fontId="7" fillId="10" borderId="1" xfId="0" applyNumberFormat="1" applyFont="1" applyFill="1" applyBorder="1" applyAlignment="1">
      <alignment horizontal="center" vertical="center"/>
    </xf>
    <xf numFmtId="0" fontId="20" fillId="10" borderId="1" xfId="0" applyFont="1" applyFill="1" applyBorder="1" applyAlignment="1">
      <alignment horizontal="left" vertical="center" wrapText="1"/>
    </xf>
    <xf numFmtId="49" fontId="8" fillId="10" borderId="1" xfId="0" applyNumberFormat="1" applyFont="1" applyFill="1" applyBorder="1" applyAlignment="1">
      <alignment horizontal="center" vertical="center"/>
    </xf>
    <xf numFmtId="0" fontId="0" fillId="0" borderId="0" xfId="0" applyFont="1" applyBorder="1" applyAlignment="1">
      <alignment horizontal="center"/>
    </xf>
    <xf numFmtId="166" fontId="8" fillId="5" borderId="1" xfId="0" applyNumberFormat="1" applyFont="1" applyFill="1" applyBorder="1" applyAlignment="1">
      <alignment horizontal="center" vertical="center"/>
    </xf>
    <xf numFmtId="166" fontId="8" fillId="0" borderId="1" xfId="0" applyNumberFormat="1" applyFont="1" applyFill="1" applyBorder="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0" fillId="0" borderId="0" xfId="0" applyFont="1" applyBorder="1"/>
    <xf numFmtId="0" fontId="8" fillId="5" borderId="1" xfId="0" applyFont="1" applyFill="1" applyBorder="1" applyAlignment="1">
      <alignment horizontal="center" vertical="center" wrapText="1"/>
    </xf>
    <xf numFmtId="170" fontId="0" fillId="0" borderId="0" xfId="0" applyNumberFormat="1" applyFill="1" applyBorder="1"/>
    <xf numFmtId="49" fontId="10" fillId="0" borderId="1" xfId="0" applyNumberFormat="1" applyFont="1" applyFill="1" applyBorder="1" applyAlignment="1">
      <alignment wrapText="1"/>
    </xf>
    <xf numFmtId="0" fontId="10" fillId="5" borderId="1" xfId="0" applyFont="1" applyFill="1" applyBorder="1" applyAlignment="1">
      <alignment wrapText="1"/>
    </xf>
    <xf numFmtId="49" fontId="10" fillId="5" borderId="1" xfId="0" applyNumberFormat="1" applyFont="1" applyFill="1" applyBorder="1" applyAlignment="1">
      <alignment horizontal="center" vertical="center"/>
    </xf>
    <xf numFmtId="169" fontId="10" fillId="2" borderId="1"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xf>
    <xf numFmtId="0" fontId="10" fillId="8" borderId="1" xfId="0" applyFont="1" applyFill="1" applyBorder="1" applyAlignment="1">
      <alignment wrapText="1"/>
    </xf>
    <xf numFmtId="49" fontId="7" fillId="5" borderId="1" xfId="0" applyNumberFormat="1" applyFont="1" applyFill="1" applyBorder="1" applyAlignment="1">
      <alignment horizontal="center" vertical="center"/>
    </xf>
    <xf numFmtId="0" fontId="50" fillId="0" borderId="17" xfId="0" applyNumberFormat="1" applyFont="1" applyFill="1" applyBorder="1" applyAlignment="1">
      <alignment horizontal="center" vertical="top" wrapText="1"/>
    </xf>
    <xf numFmtId="0" fontId="50" fillId="0" borderId="17" xfId="0" applyNumberFormat="1" applyFont="1" applyFill="1" applyBorder="1" applyAlignment="1">
      <alignment vertical="top" wrapText="1"/>
    </xf>
    <xf numFmtId="49" fontId="51" fillId="0" borderId="1" xfId="0" applyNumberFormat="1" applyFont="1" applyFill="1" applyBorder="1" applyAlignment="1">
      <alignment horizontal="center" vertical="center"/>
    </xf>
    <xf numFmtId="0" fontId="8" fillId="0" borderId="1" xfId="0" applyFont="1" applyBorder="1" applyAlignment="1">
      <alignment horizontal="center"/>
    </xf>
    <xf numFmtId="165" fontId="8" fillId="0" borderId="4" xfId="0" applyNumberFormat="1" applyFont="1" applyBorder="1" applyAlignment="1">
      <alignment horizontal="center" vertical="center" wrapText="1"/>
    </xf>
    <xf numFmtId="0" fontId="8" fillId="0" borderId="0" xfId="0" applyFont="1" applyAlignment="1">
      <alignment vertical="top" wrapText="1"/>
    </xf>
    <xf numFmtId="166" fontId="9" fillId="2" borderId="0" xfId="0" applyNumberFormat="1" applyFont="1" applyFill="1" applyAlignment="1"/>
    <xf numFmtId="166" fontId="10" fillId="2" borderId="1" xfId="0" applyNumberFormat="1" applyFont="1" applyFill="1" applyBorder="1" applyAlignment="1">
      <alignment wrapText="1"/>
    </xf>
    <xf numFmtId="166" fontId="10" fillId="5" borderId="1" xfId="0" applyNumberFormat="1" applyFont="1" applyFill="1" applyBorder="1"/>
    <xf numFmtId="171" fontId="9" fillId="0" borderId="0" xfId="0" applyNumberFormat="1" applyFont="1" applyFill="1"/>
    <xf numFmtId="166" fontId="9" fillId="0" borderId="1" xfId="0" applyNumberFormat="1" applyFont="1" applyFill="1" applyBorder="1" applyAlignment="1">
      <alignment wrapText="1"/>
    </xf>
    <xf numFmtId="166" fontId="10" fillId="5"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0" fontId="7" fillId="0" borderId="0" xfId="0" applyFont="1" applyAlignment="1">
      <alignment horizontal="center" wrapText="1"/>
    </xf>
    <xf numFmtId="166" fontId="9" fillId="2" borderId="0" xfId="0" applyNumberFormat="1" applyFont="1" applyFill="1" applyBorder="1" applyAlignment="1">
      <alignment horizontal="right"/>
    </xf>
    <xf numFmtId="166" fontId="10" fillId="8" borderId="1" xfId="0" applyNumberFormat="1" applyFont="1" applyFill="1" applyBorder="1" applyAlignment="1">
      <alignment horizontal="center" vertical="center"/>
    </xf>
    <xf numFmtId="166" fontId="9" fillId="2" borderId="0" xfId="0" applyNumberFormat="1" applyFont="1" applyFill="1" applyAlignment="1">
      <alignment wrapText="1"/>
    </xf>
    <xf numFmtId="166" fontId="10" fillId="2" borderId="0" xfId="0" applyNumberFormat="1" applyFont="1" applyFill="1" applyBorder="1" applyAlignment="1">
      <alignment vertical="center" wrapText="1"/>
    </xf>
    <xf numFmtId="166" fontId="9" fillId="2" borderId="1" xfId="0" applyNumberFormat="1" applyFont="1" applyFill="1" applyBorder="1" applyAlignment="1">
      <alignment horizontal="center" vertical="center" wrapText="1"/>
    </xf>
    <xf numFmtId="166" fontId="0" fillId="0" borderId="0" xfId="0" applyNumberFormat="1" applyFont="1"/>
    <xf numFmtId="166" fontId="7" fillId="0" borderId="0" xfId="0" applyNumberFormat="1" applyFont="1" applyFill="1" applyBorder="1" applyAlignment="1">
      <alignment horizontal="right"/>
    </xf>
    <xf numFmtId="166" fontId="18" fillId="0" borderId="1" xfId="0" applyNumberFormat="1" applyFont="1" applyBorder="1" applyAlignment="1">
      <alignment horizontal="center" vertical="center" wrapText="1"/>
    </xf>
    <xf numFmtId="166" fontId="7" fillId="8" borderId="1" xfId="0" applyNumberFormat="1" applyFont="1" applyFill="1" applyBorder="1" applyAlignment="1">
      <alignment horizontal="center" vertical="center"/>
    </xf>
    <xf numFmtId="166" fontId="8" fillId="9" borderId="1" xfId="0" applyNumberFormat="1" applyFont="1" applyFill="1" applyBorder="1" applyAlignment="1">
      <alignment horizontal="center" vertical="center"/>
    </xf>
    <xf numFmtId="166" fontId="20" fillId="0" borderId="1" xfId="0" applyNumberFormat="1" applyFont="1" applyFill="1" applyBorder="1" applyAlignment="1">
      <alignment horizontal="center" vertical="center"/>
    </xf>
    <xf numFmtId="166" fontId="0" fillId="0" borderId="1" xfId="0" applyNumberFormat="1" applyFont="1" applyBorder="1"/>
    <xf numFmtId="166" fontId="0" fillId="0" borderId="1" xfId="0" applyNumberFormat="1" applyFont="1" applyFill="1" applyBorder="1" applyAlignment="1">
      <alignment horizontal="center" vertical="center"/>
    </xf>
    <xf numFmtId="166" fontId="0" fillId="10" borderId="1" xfId="0" applyNumberFormat="1" applyFont="1" applyFill="1" applyBorder="1" applyAlignment="1">
      <alignment horizontal="center" vertical="center"/>
    </xf>
    <xf numFmtId="166" fontId="7" fillId="0" borderId="0" xfId="0" applyNumberFormat="1" applyFont="1" applyFill="1" applyBorder="1" applyAlignment="1">
      <alignment horizontal="center" vertical="center"/>
    </xf>
    <xf numFmtId="166" fontId="0" fillId="0" borderId="0" xfId="0" applyNumberFormat="1" applyFont="1" applyBorder="1"/>
    <xf numFmtId="166" fontId="8" fillId="8" borderId="1" xfId="0" applyNumberFormat="1" applyFont="1" applyFill="1" applyBorder="1" applyAlignment="1">
      <alignment horizontal="center"/>
    </xf>
    <xf numFmtId="166" fontId="8" fillId="0" borderId="1" xfId="0" applyNumberFormat="1" applyFont="1" applyBorder="1" applyAlignment="1">
      <alignment horizontal="center"/>
    </xf>
    <xf numFmtId="0" fontId="43" fillId="0" borderId="1" xfId="0" applyFont="1" applyFill="1" applyBorder="1" applyAlignment="1">
      <alignment wrapText="1"/>
    </xf>
    <xf numFmtId="0" fontId="34" fillId="8" borderId="1" xfId="0" applyFont="1" applyFill="1" applyBorder="1" applyAlignment="1">
      <alignment horizontal="center" vertical="top" wrapText="1"/>
    </xf>
    <xf numFmtId="49" fontId="43" fillId="0" borderId="1" xfId="0" applyNumberFormat="1" applyFont="1" applyFill="1" applyBorder="1" applyAlignment="1">
      <alignment horizontal="center" vertical="center"/>
    </xf>
    <xf numFmtId="166" fontId="7" fillId="2" borderId="0" xfId="0" applyNumberFormat="1" applyFont="1" applyFill="1"/>
    <xf numFmtId="166" fontId="9" fillId="2" borderId="9" xfId="0" applyNumberFormat="1" applyFont="1" applyFill="1" applyBorder="1" applyAlignment="1">
      <alignment wrapText="1"/>
    </xf>
    <xf numFmtId="166" fontId="10" fillId="2" borderId="9" xfId="0" applyNumberFormat="1" applyFont="1" applyFill="1" applyBorder="1" applyAlignment="1">
      <alignment horizontal="center" vertical="center"/>
    </xf>
    <xf numFmtId="166" fontId="8" fillId="0" borderId="1" xfId="0" applyNumberFormat="1" applyFont="1" applyBorder="1" applyAlignment="1">
      <alignment horizontal="center" vertical="center"/>
    </xf>
    <xf numFmtId="166" fontId="7" fillId="0" borderId="0" xfId="0" applyNumberFormat="1" applyFont="1" applyAlignment="1">
      <alignment horizontal="right"/>
    </xf>
    <xf numFmtId="166" fontId="19" fillId="2" borderId="0" xfId="0" applyNumberFormat="1" applyFont="1" applyFill="1"/>
    <xf numFmtId="0" fontId="9" fillId="8" borderId="1" xfId="0" applyFont="1" applyFill="1" applyBorder="1" applyAlignment="1">
      <alignment horizontal="center" vertical="top"/>
    </xf>
    <xf numFmtId="0" fontId="34" fillId="8" borderId="1" xfId="0" applyFont="1" applyFill="1" applyBorder="1" applyAlignment="1">
      <alignment vertical="top" wrapText="1"/>
    </xf>
    <xf numFmtId="0" fontId="52" fillId="0" borderId="1" xfId="0" applyFont="1" applyBorder="1" applyAlignment="1">
      <alignment horizontal="center" vertical="top" wrapText="1"/>
    </xf>
    <xf numFmtId="0" fontId="7" fillId="0" borderId="1" xfId="0" applyFont="1" applyBorder="1" applyAlignment="1">
      <alignment horizontal="justify" vertical="top" wrapText="1"/>
    </xf>
    <xf numFmtId="0" fontId="7" fillId="8" borderId="1" xfId="0" applyFont="1" applyFill="1" applyBorder="1" applyAlignment="1">
      <alignment horizontal="center" vertical="top" wrapText="1"/>
    </xf>
    <xf numFmtId="0" fontId="7" fillId="8" borderId="1" xfId="0" applyFont="1" applyFill="1" applyBorder="1" applyAlignment="1">
      <alignment horizontal="justify" vertical="top" wrapText="1"/>
    </xf>
    <xf numFmtId="0" fontId="34" fillId="6" borderId="1" xfId="0" applyFont="1" applyFill="1" applyBorder="1" applyAlignment="1">
      <alignment horizontal="left" vertical="center" wrapText="1"/>
    </xf>
    <xf numFmtId="166" fontId="20" fillId="2" borderId="0" xfId="0" applyNumberFormat="1" applyFont="1" applyFill="1"/>
    <xf numFmtId="166" fontId="8" fillId="8" borderId="0" xfId="0" applyNumberFormat="1" applyFont="1" applyFill="1" applyBorder="1" applyAlignment="1">
      <alignment horizontal="center"/>
    </xf>
    <xf numFmtId="169" fontId="10" fillId="5" borderId="1" xfId="0" applyNumberFormat="1" applyFont="1" applyFill="1" applyBorder="1" applyAlignment="1">
      <alignment wrapText="1"/>
    </xf>
    <xf numFmtId="49" fontId="9" fillId="11" borderId="1" xfId="0" applyNumberFormat="1" applyFont="1" applyFill="1" applyBorder="1" applyAlignment="1">
      <alignment horizontal="center" vertical="center"/>
    </xf>
    <xf numFmtId="0" fontId="32" fillId="0" borderId="1" xfId="0" applyFont="1" applyFill="1" applyBorder="1" applyAlignment="1">
      <alignment wrapText="1"/>
    </xf>
    <xf numFmtId="0" fontId="31" fillId="0" borderId="1" xfId="5" applyNumberFormat="1" applyFont="1" applyBorder="1" applyAlignment="1">
      <alignment wrapText="1"/>
    </xf>
    <xf numFmtId="0" fontId="9" fillId="0" borderId="1" xfId="0" applyFont="1" applyFill="1" applyBorder="1" applyAlignment="1">
      <alignment horizontal="center" vertical="center" wrapText="1"/>
    </xf>
    <xf numFmtId="166" fontId="9" fillId="0" borderId="1" xfId="0" applyNumberFormat="1" applyFont="1" applyBorder="1" applyAlignment="1">
      <alignment horizontal="center" vertical="top"/>
    </xf>
    <xf numFmtId="165" fontId="53" fillId="0" borderId="1" xfId="0" applyNumberFormat="1" applyFont="1" applyBorder="1"/>
    <xf numFmtId="169" fontId="9" fillId="0" borderId="1" xfId="0" applyNumberFormat="1" applyFont="1" applyFill="1" applyBorder="1" applyAlignment="1">
      <alignment wrapText="1"/>
    </xf>
    <xf numFmtId="165" fontId="9" fillId="0" borderId="1" xfId="0" applyNumberFormat="1" applyFont="1" applyFill="1" applyBorder="1"/>
    <xf numFmtId="166" fontId="8" fillId="2" borderId="0" xfId="0" applyNumberFormat="1" applyFont="1" applyFill="1"/>
    <xf numFmtId="0" fontId="9" fillId="0" borderId="0" xfId="0" applyFont="1" applyFill="1" applyAlignment="1">
      <alignment horizontal="right"/>
    </xf>
    <xf numFmtId="0" fontId="40" fillId="0" borderId="0" xfId="0" applyFont="1" applyFill="1"/>
    <xf numFmtId="0" fontId="40" fillId="0" borderId="0" xfId="0" applyFont="1" applyFill="1" applyBorder="1"/>
    <xf numFmtId="0" fontId="7" fillId="0" borderId="0" xfId="0" applyFont="1" applyFill="1" applyAlignment="1"/>
    <xf numFmtId="0" fontId="40" fillId="0" borderId="0" xfId="0" applyFont="1" applyFill="1" applyBorder="1" applyAlignment="1">
      <alignment horizontal="center"/>
    </xf>
    <xf numFmtId="165" fontId="40" fillId="0" borderId="0" xfId="0" applyNumberFormat="1" applyFont="1" applyFill="1" applyBorder="1" applyAlignment="1">
      <alignment horizontal="center"/>
    </xf>
    <xf numFmtId="165" fontId="40" fillId="0" borderId="0" xfId="0" applyNumberFormat="1" applyFont="1" applyFill="1" applyBorder="1"/>
    <xf numFmtId="0" fontId="41" fillId="0" borderId="0" xfId="0" applyFont="1" applyFill="1" applyBorder="1" applyAlignment="1">
      <alignment vertical="top" wrapText="1"/>
    </xf>
    <xf numFmtId="0" fontId="40" fillId="0" borderId="0" xfId="0" applyFont="1" applyFill="1" applyAlignment="1">
      <alignment wrapText="1"/>
    </xf>
    <xf numFmtId="0" fontId="43" fillId="0" borderId="1" xfId="0" applyFont="1" applyFill="1" applyBorder="1" applyAlignment="1">
      <alignment horizontal="center" vertical="top" wrapText="1"/>
    </xf>
    <xf numFmtId="0" fontId="43" fillId="0" borderId="1" xfId="0" applyFont="1" applyFill="1" applyBorder="1" applyAlignment="1">
      <alignment horizontal="left" vertical="top" wrapText="1"/>
    </xf>
    <xf numFmtId="169" fontId="43" fillId="0" borderId="1" xfId="0" applyNumberFormat="1" applyFont="1" applyFill="1" applyBorder="1" applyAlignment="1">
      <alignment horizontal="center" vertical="top" wrapText="1"/>
    </xf>
    <xf numFmtId="165" fontId="43" fillId="0" borderId="1" xfId="0" applyNumberFormat="1" applyFont="1" applyFill="1" applyBorder="1" applyAlignment="1">
      <alignment horizontal="center" vertical="top" wrapText="1"/>
    </xf>
    <xf numFmtId="0" fontId="43" fillId="0" borderId="1" xfId="0" applyNumberFormat="1" applyFont="1" applyFill="1" applyBorder="1" applyAlignment="1">
      <alignment horizontal="left" vertical="top" wrapText="1"/>
    </xf>
    <xf numFmtId="0" fontId="41" fillId="0" borderId="5" xfId="0" applyFont="1" applyFill="1" applyBorder="1" applyAlignment="1">
      <alignment horizontal="center" vertical="center"/>
    </xf>
    <xf numFmtId="0" fontId="41" fillId="0" borderId="1" xfId="0" applyFont="1" applyFill="1" applyBorder="1" applyAlignment="1">
      <alignment horizontal="center" vertical="center" wrapText="1"/>
    </xf>
    <xf numFmtId="0" fontId="41" fillId="0" borderId="1" xfId="0" applyFont="1" applyFill="1" applyBorder="1" applyAlignment="1">
      <alignment horizontal="left" vertical="center" wrapText="1"/>
    </xf>
    <xf numFmtId="0" fontId="43" fillId="0" borderId="9" xfId="0" applyFont="1" applyFill="1" applyBorder="1" applyAlignment="1">
      <alignment horizontal="center" vertical="center" wrapText="1"/>
    </xf>
    <xf numFmtId="0" fontId="44" fillId="0" borderId="1" xfId="0" applyFont="1" applyFill="1" applyBorder="1" applyAlignment="1">
      <alignment vertical="top" wrapText="1"/>
    </xf>
    <xf numFmtId="169" fontId="21" fillId="0" borderId="1" xfId="0" applyNumberFormat="1" applyFont="1" applyFill="1" applyBorder="1" applyAlignment="1">
      <alignment horizontal="center" vertical="top" wrapText="1"/>
    </xf>
    <xf numFmtId="165" fontId="44" fillId="0" borderId="1" xfId="0" applyNumberFormat="1" applyFont="1" applyFill="1" applyBorder="1" applyAlignment="1">
      <alignment horizontal="center" vertical="top" wrapText="1"/>
    </xf>
    <xf numFmtId="0" fontId="41" fillId="0" borderId="9" xfId="0" applyFont="1" applyFill="1" applyBorder="1" applyAlignment="1">
      <alignment horizontal="center" vertical="top" wrapText="1"/>
    </xf>
    <xf numFmtId="0" fontId="43" fillId="0" borderId="9" xfId="0" applyFont="1" applyFill="1" applyBorder="1" applyAlignment="1">
      <alignment horizontal="center" vertical="top" wrapText="1"/>
    </xf>
    <xf numFmtId="0" fontId="43" fillId="0" borderId="9" xfId="0" applyFont="1" applyFill="1" applyBorder="1" applyAlignment="1">
      <alignment horizontal="center" wrapText="1"/>
    </xf>
    <xf numFmtId="0" fontId="43" fillId="0" borderId="1" xfId="0" applyFont="1" applyFill="1" applyBorder="1" applyAlignment="1">
      <alignment vertical="top" wrapText="1"/>
    </xf>
    <xf numFmtId="169" fontId="43" fillId="0" borderId="1" xfId="0" applyNumberFormat="1" applyFont="1" applyFill="1" applyBorder="1" applyAlignment="1">
      <alignment horizontal="center" wrapText="1"/>
    </xf>
    <xf numFmtId="166" fontId="34" fillId="8" borderId="1" xfId="0" applyNumberFormat="1" applyFont="1" applyFill="1" applyBorder="1" applyAlignment="1">
      <alignment horizontal="center" vertical="top" wrapText="1"/>
    </xf>
    <xf numFmtId="49" fontId="9" fillId="0" borderId="1" xfId="0" applyNumberFormat="1" applyFont="1" applyFill="1" applyBorder="1" applyAlignment="1">
      <alignment horizontal="center" vertical="center" wrapText="1"/>
    </xf>
    <xf numFmtId="0" fontId="32" fillId="0" borderId="1" xfId="0" applyFont="1" applyBorder="1" applyAlignment="1">
      <alignment horizontal="left" vertical="center" wrapText="1"/>
    </xf>
    <xf numFmtId="0" fontId="48" fillId="0" borderId="1" xfId="5" applyNumberFormat="1" applyFont="1" applyBorder="1" applyAlignment="1">
      <alignment wrapText="1"/>
    </xf>
    <xf numFmtId="166" fontId="31" fillId="0" borderId="1" xfId="5" applyNumberFormat="1" applyFont="1" applyBorder="1" applyAlignment="1">
      <alignment horizontal="center" wrapText="1"/>
    </xf>
    <xf numFmtId="166" fontId="10" fillId="6" borderId="1" xfId="0" applyNumberFormat="1" applyFont="1" applyFill="1" applyBorder="1" applyAlignment="1">
      <alignment horizontal="center" vertical="center"/>
    </xf>
    <xf numFmtId="166" fontId="9" fillId="8" borderId="1" xfId="0" applyNumberFormat="1" applyFont="1" applyFill="1" applyBorder="1" applyAlignment="1">
      <alignment horizontal="center" vertical="top"/>
    </xf>
    <xf numFmtId="49" fontId="31" fillId="2" borderId="1" xfId="0" applyNumberFormat="1" applyFont="1" applyFill="1" applyBorder="1" applyAlignment="1">
      <alignment vertical="center"/>
    </xf>
    <xf numFmtId="0" fontId="7" fillId="0" borderId="1" xfId="0" applyFont="1" applyBorder="1" applyAlignment="1">
      <alignment horizontal="center"/>
    </xf>
    <xf numFmtId="166" fontId="31" fillId="2" borderId="1" xfId="0" applyNumberFormat="1" applyFont="1" applyFill="1" applyBorder="1" applyAlignment="1">
      <alignment horizontal="center" vertical="center" wrapText="1"/>
    </xf>
    <xf numFmtId="166" fontId="9" fillId="8" borderId="1" xfId="0" applyNumberFormat="1" applyFont="1" applyFill="1" applyBorder="1" applyAlignment="1">
      <alignment horizontal="center" vertical="center" wrapText="1"/>
    </xf>
    <xf numFmtId="166" fontId="31" fillId="8"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0" fontId="9" fillId="2" borderId="0" xfId="0" applyNumberFormat="1" applyFont="1" applyFill="1" applyAlignment="1">
      <alignment horizontal="center"/>
    </xf>
    <xf numFmtId="0" fontId="10" fillId="2" borderId="0" xfId="0" applyNumberFormat="1" applyFont="1" applyFill="1" applyAlignment="1">
      <alignment horizontal="center"/>
    </xf>
    <xf numFmtId="0" fontId="30" fillId="2" borderId="0" xfId="0" applyNumberFormat="1" applyFont="1" applyFill="1" applyAlignment="1">
      <alignment horizontal="center"/>
    </xf>
    <xf numFmtId="0" fontId="31" fillId="2" borderId="0" xfId="0" applyNumberFormat="1" applyFont="1" applyFill="1" applyAlignment="1">
      <alignment horizontal="center"/>
    </xf>
    <xf numFmtId="0" fontId="31" fillId="8" borderId="0" xfId="0" applyNumberFormat="1" applyFont="1" applyFill="1" applyAlignment="1">
      <alignment horizontal="center"/>
    </xf>
    <xf numFmtId="0" fontId="8" fillId="5" borderId="1" xfId="0" applyFont="1" applyFill="1" applyBorder="1" applyAlignment="1">
      <alignment horizontal="left" vertical="center" wrapText="1"/>
    </xf>
    <xf numFmtId="0" fontId="9" fillId="2" borderId="1" xfId="0" applyFont="1" applyFill="1" applyBorder="1" applyAlignment="1">
      <alignment horizontal="center"/>
    </xf>
    <xf numFmtId="0" fontId="7" fillId="0" borderId="0" xfId="0" applyFont="1" applyAlignment="1">
      <alignment horizontal="right"/>
    </xf>
    <xf numFmtId="3" fontId="43" fillId="0" borderId="1" xfId="0" applyNumberFormat="1" applyFont="1" applyFill="1" applyBorder="1" applyAlignment="1">
      <alignment horizontal="center" vertical="top" wrapText="1"/>
    </xf>
    <xf numFmtId="0" fontId="43" fillId="0" borderId="1" xfId="0" applyFont="1" applyFill="1" applyBorder="1" applyAlignment="1">
      <alignment horizontal="center" wrapText="1"/>
    </xf>
    <xf numFmtId="167" fontId="9" fillId="0" borderId="1" xfId="0" applyNumberFormat="1" applyFont="1" applyFill="1" applyBorder="1"/>
    <xf numFmtId="165" fontId="8" fillId="0" borderId="0" xfId="0" applyNumberFormat="1" applyFont="1" applyAlignment="1">
      <alignment horizontal="right" vertical="center" wrapText="1"/>
    </xf>
    <xf numFmtId="0" fontId="20" fillId="12" borderId="1" xfId="0" applyFont="1" applyFill="1" applyBorder="1" applyAlignment="1">
      <alignment horizontal="left" vertical="center" wrapText="1"/>
    </xf>
    <xf numFmtId="0" fontId="20" fillId="12" borderId="1" xfId="0" applyFont="1" applyFill="1" applyBorder="1" applyAlignment="1">
      <alignment horizontal="center" vertical="center"/>
    </xf>
    <xf numFmtId="166" fontId="20" fillId="12" borderId="1" xfId="0" applyNumberFormat="1" applyFont="1" applyFill="1" applyBorder="1" applyAlignment="1">
      <alignment horizontal="center" vertical="center"/>
    </xf>
    <xf numFmtId="0" fontId="7" fillId="0" borderId="1" xfId="0" applyFont="1" applyBorder="1"/>
    <xf numFmtId="0" fontId="8" fillId="0" borderId="1" xfId="0" applyFont="1" applyBorder="1" applyAlignment="1">
      <alignment horizontal="center" vertical="center" wrapText="1"/>
    </xf>
    <xf numFmtId="0" fontId="8" fillId="8" borderId="0" xfId="0" applyFont="1" applyFill="1" applyBorder="1" applyAlignment="1">
      <alignment horizontal="center" vertical="center" wrapText="1"/>
    </xf>
    <xf numFmtId="166" fontId="8" fillId="0" borderId="0" xfId="0" applyNumberFormat="1" applyFont="1" applyBorder="1" applyAlignment="1">
      <alignment horizontal="center"/>
    </xf>
    <xf numFmtId="166" fontId="7" fillId="0" borderId="0" xfId="0" applyNumberFormat="1" applyFont="1" applyBorder="1" applyAlignment="1"/>
    <xf numFmtId="0" fontId="8" fillId="0" borderId="0" xfId="0" applyFont="1" applyBorder="1" applyAlignment="1">
      <alignment horizontal="center"/>
    </xf>
    <xf numFmtId="166" fontId="7" fillId="0" borderId="16" xfId="0" applyNumberFormat="1" applyFont="1" applyBorder="1" applyAlignment="1"/>
    <xf numFmtId="0" fontId="10" fillId="0"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10" fillId="5" borderId="7" xfId="0" applyFont="1" applyFill="1" applyBorder="1" applyAlignment="1">
      <alignment horizontal="center" vertical="center"/>
    </xf>
    <xf numFmtId="0" fontId="10" fillId="5" borderId="4" xfId="0" applyFont="1" applyFill="1" applyBorder="1" applyAlignment="1">
      <alignment horizontal="center" vertical="center" wrapText="1"/>
    </xf>
    <xf numFmtId="166" fontId="9" fillId="0" borderId="1" xfId="0" applyNumberFormat="1" applyFont="1" applyFill="1" applyBorder="1" applyAlignment="1">
      <alignment horizontal="center" vertical="top"/>
    </xf>
    <xf numFmtId="0" fontId="47" fillId="0" borderId="1" xfId="0" applyFont="1" applyBorder="1" applyAlignment="1">
      <alignment horizontal="left" vertical="center" wrapText="1"/>
    </xf>
    <xf numFmtId="0" fontId="7" fillId="0" borderId="1" xfId="0" applyFont="1" applyBorder="1"/>
    <xf numFmtId="0" fontId="8" fillId="0" borderId="1" xfId="0" applyFont="1" applyBorder="1" applyAlignment="1">
      <alignment horizontal="center" vertical="center" wrapText="1"/>
    </xf>
    <xf numFmtId="0" fontId="7" fillId="0" borderId="1" xfId="0" applyFont="1" applyBorder="1" applyAlignment="1"/>
    <xf numFmtId="0" fontId="8" fillId="0" borderId="0" xfId="0" applyFont="1" applyAlignment="1">
      <alignment horizontal="center" vertical="top" wrapText="1"/>
    </xf>
    <xf numFmtId="0" fontId="9" fillId="6" borderId="0" xfId="0" applyFont="1" applyFill="1" applyAlignment="1">
      <alignment horizontal="center" vertical="center"/>
    </xf>
    <xf numFmtId="166" fontId="9" fillId="2" borderId="1" xfId="0" applyNumberFormat="1" applyFont="1" applyFill="1" applyBorder="1" applyAlignment="1">
      <alignment horizontal="center"/>
    </xf>
    <xf numFmtId="0" fontId="9" fillId="2" borderId="1" xfId="0" applyFont="1" applyFill="1" applyBorder="1" applyAlignment="1">
      <alignment horizontal="left" vertical="center"/>
    </xf>
    <xf numFmtId="49" fontId="9" fillId="2" borderId="1" xfId="0" applyNumberFormat="1" applyFont="1" applyFill="1" applyBorder="1" applyAlignment="1">
      <alignment horizontal="center"/>
    </xf>
    <xf numFmtId="0" fontId="9" fillId="2" borderId="4" xfId="0" applyFont="1" applyFill="1" applyBorder="1" applyAlignment="1">
      <alignment horizontal="left" vertical="center" wrapText="1"/>
    </xf>
    <xf numFmtId="0" fontId="9" fillId="2" borderId="4" xfId="0" applyFont="1" applyFill="1" applyBorder="1"/>
    <xf numFmtId="49" fontId="9" fillId="2" borderId="4" xfId="0" applyNumberFormat="1" applyFont="1" applyFill="1" applyBorder="1"/>
    <xf numFmtId="0" fontId="9" fillId="2" borderId="4" xfId="0" applyFont="1" applyFill="1" applyBorder="1" applyAlignment="1">
      <alignment horizontal="center"/>
    </xf>
    <xf numFmtId="166" fontId="9" fillId="2" borderId="4" xfId="0" applyNumberFormat="1" applyFont="1" applyFill="1" applyBorder="1"/>
    <xf numFmtId="166" fontId="9" fillId="2" borderId="4" xfId="0" applyNumberFormat="1" applyFont="1" applyFill="1" applyBorder="1" applyAlignment="1">
      <alignment wrapText="1"/>
    </xf>
    <xf numFmtId="0" fontId="32" fillId="8" borderId="0" xfId="0" applyFont="1" applyFill="1" applyBorder="1" applyAlignment="1">
      <alignment horizontal="left" vertical="center" wrapText="1"/>
    </xf>
    <xf numFmtId="49" fontId="31" fillId="8" borderId="0" xfId="0" applyNumberFormat="1" applyFont="1" applyFill="1" applyBorder="1" applyAlignment="1">
      <alignment horizontal="center" vertical="center"/>
    </xf>
    <xf numFmtId="166" fontId="31" fillId="8" borderId="0" xfId="0" applyNumberFormat="1" applyFont="1" applyFill="1" applyBorder="1" applyAlignment="1">
      <alignment horizontal="center" vertical="center"/>
    </xf>
    <xf numFmtId="166" fontId="9" fillId="2" borderId="0" xfId="0" applyNumberFormat="1" applyFont="1" applyFill="1" applyBorder="1" applyAlignment="1">
      <alignment wrapText="1"/>
    </xf>
    <xf numFmtId="0" fontId="9" fillId="2" borderId="0" xfId="0" applyFont="1" applyFill="1" applyBorder="1" applyAlignment="1">
      <alignment horizontal="left" vertical="center"/>
    </xf>
    <xf numFmtId="0" fontId="9" fillId="2" borderId="0" xfId="0" applyFont="1" applyFill="1" applyBorder="1" applyAlignment="1">
      <alignment horizontal="center"/>
    </xf>
    <xf numFmtId="49" fontId="9" fillId="2" borderId="0" xfId="0" applyNumberFormat="1" applyFont="1" applyFill="1" applyBorder="1" applyAlignment="1">
      <alignment horizontal="center"/>
    </xf>
    <xf numFmtId="166" fontId="9" fillId="2" borderId="0" xfId="0" applyNumberFormat="1" applyFont="1" applyFill="1" applyBorder="1" applyAlignment="1">
      <alignment horizontal="center"/>
    </xf>
    <xf numFmtId="0" fontId="20" fillId="8" borderId="1" xfId="0" applyFont="1" applyFill="1" applyBorder="1" applyAlignment="1">
      <alignment horizontal="left" vertical="center" wrapText="1"/>
    </xf>
    <xf numFmtId="0" fontId="7" fillId="2" borderId="1" xfId="0" applyFont="1" applyFill="1" applyBorder="1" applyAlignment="1">
      <alignment horizontal="center" vertical="center"/>
    </xf>
    <xf numFmtId="49" fontId="8" fillId="8" borderId="1" xfId="0" applyNumberFormat="1" applyFont="1" applyFill="1" applyBorder="1" applyAlignment="1">
      <alignment horizontal="center" vertical="center"/>
    </xf>
    <xf numFmtId="166" fontId="8" fillId="8" borderId="1" xfId="0" applyNumberFormat="1" applyFont="1" applyFill="1" applyBorder="1" applyAlignment="1">
      <alignment horizontal="center" vertical="center"/>
    </xf>
    <xf numFmtId="0" fontId="41" fillId="0" borderId="1" xfId="0" applyFont="1" applyFill="1" applyBorder="1" applyAlignment="1">
      <alignment horizontal="center" vertical="top" wrapText="1"/>
    </xf>
    <xf numFmtId="0" fontId="41" fillId="0" borderId="0" xfId="0" applyFont="1" applyFill="1" applyBorder="1" applyAlignment="1">
      <alignment horizontal="center" vertical="top" wrapText="1"/>
    </xf>
    <xf numFmtId="0" fontId="41" fillId="0" borderId="1" xfId="0" applyFont="1" applyBorder="1" applyAlignment="1">
      <alignment horizontal="center" vertical="top" wrapText="1"/>
    </xf>
    <xf numFmtId="166" fontId="43" fillId="0" borderId="1" xfId="0" applyNumberFormat="1" applyFont="1" applyFill="1" applyBorder="1" applyAlignment="1">
      <alignment horizontal="center" vertical="top" wrapText="1"/>
    </xf>
    <xf numFmtId="4" fontId="31" fillId="8" borderId="0" xfId="0" applyNumberFormat="1" applyFont="1" applyFill="1" applyBorder="1" applyAlignment="1">
      <alignment horizontal="center" vertical="center"/>
    </xf>
    <xf numFmtId="165" fontId="8" fillId="0" borderId="13" xfId="0" applyNumberFormat="1" applyFont="1" applyBorder="1" applyAlignment="1">
      <alignment horizontal="center" vertical="center" wrapText="1"/>
    </xf>
    <xf numFmtId="166" fontId="41" fillId="0" borderId="1" xfId="0" applyNumberFormat="1" applyFont="1" applyBorder="1" applyAlignment="1">
      <alignment horizontal="center" vertical="top" wrapText="1"/>
    </xf>
    <xf numFmtId="166" fontId="41" fillId="0" borderId="1" xfId="0" applyNumberFormat="1" applyFont="1" applyFill="1" applyBorder="1" applyAlignment="1">
      <alignment horizontal="center" vertical="top" wrapText="1"/>
    </xf>
    <xf numFmtId="166" fontId="21" fillId="0" borderId="1" xfId="0" applyNumberFormat="1" applyFont="1" applyFill="1" applyBorder="1" applyAlignment="1">
      <alignment horizontal="center" vertical="top" wrapText="1"/>
    </xf>
    <xf numFmtId="166" fontId="43" fillId="0" borderId="1" xfId="0" applyNumberFormat="1" applyFont="1" applyFill="1" applyBorder="1" applyAlignment="1">
      <alignment horizontal="center" wrapText="1"/>
    </xf>
    <xf numFmtId="166" fontId="43" fillId="0" borderId="1" xfId="0" applyNumberFormat="1" applyFont="1" applyBorder="1" applyAlignment="1">
      <alignment horizontal="center" vertical="top" wrapText="1"/>
    </xf>
    <xf numFmtId="166" fontId="9" fillId="2" borderId="1" xfId="0" applyNumberFormat="1" applyFont="1" applyFill="1" applyBorder="1" applyAlignment="1">
      <alignment horizontal="center"/>
    </xf>
    <xf numFmtId="166" fontId="10" fillId="2" borderId="0" xfId="0" applyNumberFormat="1" applyFont="1" applyFill="1" applyBorder="1" applyAlignment="1">
      <alignment horizontal="center"/>
    </xf>
    <xf numFmtId="166" fontId="9" fillId="2" borderId="0" xfId="0" applyNumberFormat="1" applyFont="1" applyFill="1" applyAlignment="1">
      <alignment horizontal="center"/>
    </xf>
    <xf numFmtId="166" fontId="30" fillId="2" borderId="0" xfId="0" applyNumberFormat="1" applyFont="1" applyFill="1" applyAlignment="1">
      <alignment horizontal="center"/>
    </xf>
    <xf numFmtId="166" fontId="10" fillId="2" borderId="0" xfId="0" applyNumberFormat="1" applyFont="1" applyFill="1" applyAlignment="1">
      <alignment horizontal="center"/>
    </xf>
    <xf numFmtId="0" fontId="7" fillId="0" borderId="1" xfId="0" applyFont="1" applyBorder="1" applyAlignment="1">
      <alignment wrapText="1"/>
    </xf>
    <xf numFmtId="167" fontId="7" fillId="0" borderId="1" xfId="0" applyNumberFormat="1" applyFont="1" applyBorder="1"/>
    <xf numFmtId="167" fontId="7" fillId="0" borderId="1" xfId="0" applyNumberFormat="1" applyFont="1" applyBorder="1" applyAlignment="1">
      <alignment horizontal="right"/>
    </xf>
    <xf numFmtId="167" fontId="7" fillId="0" borderId="1" xfId="8" applyNumberFormat="1" applyFont="1" applyBorder="1" applyAlignment="1">
      <alignment horizontal="right" wrapText="1"/>
    </xf>
    <xf numFmtId="166" fontId="7" fillId="0" borderId="1" xfId="0" applyNumberFormat="1" applyFont="1" applyBorder="1"/>
    <xf numFmtId="170" fontId="7" fillId="0" borderId="1" xfId="0" applyNumberFormat="1" applyFont="1" applyBorder="1"/>
    <xf numFmtId="166" fontId="9" fillId="2" borderId="0" xfId="0" applyNumberFormat="1" applyFont="1" applyFill="1" applyAlignment="1">
      <alignment horizontal="right"/>
    </xf>
    <xf numFmtId="10" fontId="41" fillId="0" borderId="0" xfId="0" applyNumberFormat="1" applyFont="1"/>
    <xf numFmtId="0" fontId="41" fillId="0" borderId="0" xfId="0" applyFont="1" applyFill="1" applyBorder="1" applyAlignment="1">
      <alignment horizontal="center"/>
    </xf>
    <xf numFmtId="0" fontId="11" fillId="0" borderId="1" xfId="0" applyFont="1" applyBorder="1" applyAlignment="1">
      <alignment horizontal="left" wrapText="1"/>
    </xf>
    <xf numFmtId="0" fontId="15" fillId="0" borderId="1" xfId="0" applyFont="1" applyBorder="1" applyAlignment="1">
      <alignment vertical="top" wrapText="1"/>
    </xf>
    <xf numFmtId="0" fontId="9" fillId="0" borderId="1" xfId="0" applyFont="1" applyBorder="1" applyAlignment="1">
      <alignment horizontal="left" vertical="center" wrapText="1"/>
    </xf>
    <xf numFmtId="0" fontId="8" fillId="0" borderId="1" xfId="0" applyFont="1" applyBorder="1" applyAlignment="1">
      <alignment horizontal="center" vertical="top" wrapText="1"/>
    </xf>
    <xf numFmtId="166" fontId="7" fillId="0" borderId="0" xfId="0" applyNumberFormat="1" applyFont="1" applyFill="1"/>
    <xf numFmtId="0" fontId="54" fillId="0" borderId="1" xfId="0" applyFont="1" applyFill="1" applyBorder="1" applyAlignment="1">
      <alignment horizontal="left" vertical="center" wrapText="1"/>
    </xf>
    <xf numFmtId="49" fontId="54" fillId="0" borderId="1" xfId="0" applyNumberFormat="1" applyFont="1" applyFill="1" applyBorder="1" applyAlignment="1">
      <alignment horizontal="center" vertical="center"/>
    </xf>
    <xf numFmtId="49" fontId="54" fillId="2" borderId="1" xfId="0" applyNumberFormat="1" applyFont="1" applyFill="1" applyBorder="1" applyAlignment="1">
      <alignment horizontal="center" vertical="center"/>
    </xf>
    <xf numFmtId="166" fontId="54" fillId="2" borderId="1" xfId="0" applyNumberFormat="1" applyFont="1" applyFill="1" applyBorder="1" applyAlignment="1">
      <alignment horizontal="center" vertical="center"/>
    </xf>
    <xf numFmtId="49" fontId="19" fillId="5" borderId="1" xfId="0" applyNumberFormat="1" applyFont="1" applyFill="1" applyBorder="1" applyAlignment="1">
      <alignment horizontal="center" vertical="center"/>
    </xf>
    <xf numFmtId="0" fontId="9" fillId="8" borderId="0" xfId="0" applyFont="1" applyFill="1" applyAlignment="1">
      <alignment wrapText="1"/>
    </xf>
    <xf numFmtId="0" fontId="9" fillId="0" borderId="18" xfId="0" applyFont="1" applyFill="1" applyBorder="1" applyAlignment="1">
      <alignment horizontal="center" vertical="top" wrapText="1"/>
    </xf>
    <xf numFmtId="166" fontId="9" fillId="5" borderId="1" xfId="0" applyNumberFormat="1" applyFont="1" applyFill="1" applyBorder="1" applyAlignment="1">
      <alignment horizontal="center" vertical="top" wrapText="1"/>
    </xf>
    <xf numFmtId="0" fontId="9" fillId="0" borderId="1" xfId="0" applyFont="1" applyBorder="1" applyAlignment="1">
      <alignment horizontal="center" vertical="top" wrapText="1"/>
    </xf>
    <xf numFmtId="0" fontId="7" fillId="0" borderId="1" xfId="0" applyFont="1" applyBorder="1"/>
    <xf numFmtId="0" fontId="7" fillId="0" borderId="1" xfId="0" applyFont="1" applyBorder="1" applyAlignment="1">
      <alignment wrapText="1"/>
    </xf>
    <xf numFmtId="0" fontId="7" fillId="0" borderId="0" xfId="0" applyFont="1" applyAlignment="1">
      <alignment horizontal="right"/>
    </xf>
    <xf numFmtId="0" fontId="26" fillId="0" borderId="1" xfId="0" applyFont="1" applyBorder="1"/>
    <xf numFmtId="166" fontId="7" fillId="0" borderId="13" xfId="0" applyNumberFormat="1" applyFont="1" applyBorder="1" applyAlignment="1"/>
    <xf numFmtId="0" fontId="7" fillId="0" borderId="0" xfId="0" applyFont="1" applyAlignment="1">
      <alignment horizontal="right"/>
    </xf>
    <xf numFmtId="0" fontId="21" fillId="0" borderId="1" xfId="0" applyFont="1" applyBorder="1" applyAlignment="1">
      <alignment horizontal="center" vertical="center"/>
    </xf>
    <xf numFmtId="49" fontId="19" fillId="8"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wrapText="1"/>
    </xf>
    <xf numFmtId="0" fontId="47" fillId="0" borderId="1" xfId="0" applyFont="1" applyFill="1" applyBorder="1" applyAlignment="1">
      <alignment wrapText="1"/>
    </xf>
    <xf numFmtId="0" fontId="56" fillId="0" borderId="1" xfId="0" applyFont="1" applyBorder="1"/>
    <xf numFmtId="0" fontId="55" fillId="0" borderId="1" xfId="0" applyFont="1" applyBorder="1"/>
    <xf numFmtId="0" fontId="29" fillId="0" borderId="1" xfId="0" applyFont="1" applyBorder="1" applyAlignment="1">
      <alignment horizontal="left" vertical="center" wrapText="1"/>
    </xf>
    <xf numFmtId="169" fontId="9" fillId="2" borderId="0" xfId="0" applyNumberFormat="1" applyFont="1" applyFill="1" applyAlignment="1">
      <alignment horizontal="center" vertical="center"/>
    </xf>
    <xf numFmtId="165" fontId="8" fillId="0" borderId="0" xfId="0" applyNumberFormat="1" applyFont="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166" fontId="6" fillId="2" borderId="1" xfId="0" applyNumberFormat="1" applyFont="1" applyFill="1" applyBorder="1" applyAlignment="1">
      <alignment horizontal="center" vertical="center"/>
    </xf>
    <xf numFmtId="0" fontId="6" fillId="2" borderId="1" xfId="0" applyFont="1" applyFill="1" applyBorder="1" applyAlignment="1">
      <alignment horizontal="left" vertical="center" wrapText="1"/>
    </xf>
    <xf numFmtId="0" fontId="57" fillId="2" borderId="1" xfId="0" applyFont="1" applyFill="1" applyBorder="1" applyAlignment="1">
      <alignment horizontal="left" vertical="center" wrapText="1"/>
    </xf>
    <xf numFmtId="166" fontId="11" fillId="2" borderId="1" xfId="0" applyNumberFormat="1" applyFont="1" applyFill="1" applyBorder="1" applyAlignment="1">
      <alignment horizontal="center" vertical="center"/>
    </xf>
    <xf numFmtId="166" fontId="8" fillId="8" borderId="0" xfId="2" applyNumberFormat="1" applyFont="1" applyFill="1" applyBorder="1" applyAlignment="1">
      <alignment horizontal="center"/>
    </xf>
    <xf numFmtId="0" fontId="9" fillId="5" borderId="1" xfId="0" applyFont="1" applyFill="1" applyBorder="1" applyAlignment="1">
      <alignment horizontal="center" vertical="top"/>
    </xf>
    <xf numFmtId="49" fontId="58" fillId="0" borderId="1" xfId="0" applyNumberFormat="1" applyFont="1" applyFill="1" applyBorder="1" applyAlignment="1">
      <alignment horizontal="center" vertical="center"/>
    </xf>
    <xf numFmtId="49" fontId="53" fillId="0" borderId="1" xfId="0" applyNumberFormat="1" applyFont="1" applyFill="1" applyBorder="1" applyAlignment="1">
      <alignment horizontal="center" vertical="center"/>
    </xf>
    <xf numFmtId="49" fontId="59" fillId="0" borderId="1" xfId="0" applyNumberFormat="1" applyFont="1" applyFill="1" applyBorder="1" applyAlignment="1">
      <alignment horizontal="center" vertical="center"/>
    </xf>
    <xf numFmtId="49" fontId="60" fillId="0" borderId="1" xfId="0" applyNumberFormat="1" applyFont="1" applyFill="1" applyBorder="1" applyAlignment="1">
      <alignment horizontal="center" vertical="center"/>
    </xf>
    <xf numFmtId="49" fontId="10" fillId="2" borderId="5" xfId="0" applyNumberFormat="1" applyFont="1" applyFill="1" applyBorder="1" applyAlignment="1">
      <alignment horizontal="center" vertical="center"/>
    </xf>
    <xf numFmtId="0" fontId="50" fillId="0" borderId="20" xfId="0" applyNumberFormat="1" applyFont="1" applyFill="1" applyBorder="1" applyAlignment="1">
      <alignment vertical="top" wrapText="1"/>
    </xf>
    <xf numFmtId="0" fontId="47" fillId="0" borderId="1" xfId="0" applyFont="1" applyFill="1" applyBorder="1" applyAlignment="1">
      <alignment horizontal="left" vertical="center" wrapText="1"/>
    </xf>
    <xf numFmtId="0" fontId="47" fillId="2" borderId="1" xfId="0" applyFont="1" applyFill="1" applyBorder="1" applyAlignment="1">
      <alignment horizontal="left" vertical="center" wrapText="1"/>
    </xf>
    <xf numFmtId="166" fontId="31" fillId="4" borderId="0" xfId="0" applyNumberFormat="1" applyFont="1" applyFill="1"/>
    <xf numFmtId="166" fontId="31" fillId="2" borderId="0" xfId="0" applyNumberFormat="1" applyFont="1" applyFill="1"/>
    <xf numFmtId="166" fontId="31" fillId="0" borderId="0" xfId="0" applyNumberFormat="1" applyFont="1" applyFill="1"/>
    <xf numFmtId="166" fontId="30" fillId="0" borderId="0" xfId="0" applyNumberFormat="1" applyFont="1" applyFill="1"/>
    <xf numFmtId="166" fontId="0" fillId="0" borderId="0" xfId="0" applyNumberFormat="1"/>
    <xf numFmtId="166" fontId="9" fillId="2" borderId="0" xfId="0" applyNumberFormat="1" applyFont="1" applyFill="1" applyAlignment="1">
      <alignment horizontal="right"/>
    </xf>
    <xf numFmtId="0" fontId="61" fillId="0" borderId="1" xfId="0" applyFont="1" applyBorder="1"/>
    <xf numFmtId="0" fontId="8" fillId="0" borderId="1" xfId="0" applyFont="1" applyBorder="1" applyAlignment="1">
      <alignment horizontal="center" vertical="center" wrapText="1"/>
    </xf>
    <xf numFmtId="0" fontId="8" fillId="0" borderId="0" xfId="0" applyFont="1" applyAlignment="1">
      <alignment horizontal="center" vertical="top" wrapText="1"/>
    </xf>
    <xf numFmtId="165" fontId="0" fillId="0" borderId="0" xfId="0" applyNumberFormat="1"/>
    <xf numFmtId="49" fontId="9" fillId="8" borderId="1" xfId="0" applyNumberFormat="1" applyFont="1" applyFill="1" applyBorder="1" applyAlignment="1">
      <alignment horizontal="center" vertical="top"/>
    </xf>
    <xf numFmtId="0" fontId="47" fillId="8" borderId="1" xfId="0" applyFont="1" applyFill="1" applyBorder="1" applyAlignment="1">
      <alignment horizontal="left" vertical="center" wrapText="1"/>
    </xf>
    <xf numFmtId="49" fontId="7" fillId="2" borderId="1" xfId="0" applyNumberFormat="1" applyFont="1" applyFill="1" applyBorder="1" applyAlignment="1">
      <alignment horizontal="center"/>
    </xf>
    <xf numFmtId="0" fontId="21" fillId="8" borderId="1" xfId="0" applyFont="1" applyFill="1" applyBorder="1" applyAlignment="1">
      <alignment horizontal="left" vertical="center" wrapText="1"/>
    </xf>
    <xf numFmtId="0" fontId="9" fillId="0" borderId="4" xfId="0" applyFont="1" applyFill="1" applyBorder="1" applyAlignment="1">
      <alignment horizontal="center" vertical="top" wrapText="1"/>
    </xf>
    <xf numFmtId="0" fontId="9" fillId="0" borderId="0" xfId="0" applyFont="1" applyFill="1" applyAlignment="1">
      <alignment horizontal="justify" vertical="top" wrapText="1"/>
    </xf>
    <xf numFmtId="0" fontId="9" fillId="0" borderId="1" xfId="0" applyFont="1" applyFill="1" applyBorder="1" applyAlignment="1">
      <alignment horizontal="left" vertical="top" wrapText="1"/>
    </xf>
    <xf numFmtId="10" fontId="42" fillId="0" borderId="0" xfId="0" applyNumberFormat="1" applyFont="1"/>
    <xf numFmtId="0" fontId="47" fillId="2" borderId="1" xfId="0" applyFont="1" applyFill="1" applyBorder="1" applyAlignment="1">
      <alignment wrapText="1"/>
    </xf>
    <xf numFmtId="0" fontId="10" fillId="6" borderId="1" xfId="0" applyFont="1" applyFill="1" applyBorder="1" applyAlignment="1">
      <alignment horizontal="left" vertical="center" wrapText="1"/>
    </xf>
    <xf numFmtId="0" fontId="9" fillId="6" borderId="1" xfId="0" applyFont="1" applyFill="1" applyBorder="1" applyAlignment="1">
      <alignment horizontal="center"/>
    </xf>
    <xf numFmtId="49" fontId="9" fillId="6" borderId="1" xfId="0" applyNumberFormat="1" applyFont="1" applyFill="1" applyBorder="1" applyAlignment="1">
      <alignment horizontal="center"/>
    </xf>
    <xf numFmtId="166" fontId="9" fillId="6" borderId="1" xfId="0" applyNumberFormat="1" applyFont="1" applyFill="1" applyBorder="1" applyAlignment="1">
      <alignment horizontal="center"/>
    </xf>
    <xf numFmtId="49" fontId="20" fillId="5" borderId="1" xfId="0" applyNumberFormat="1" applyFont="1" applyFill="1" applyBorder="1" applyAlignment="1">
      <alignment horizontal="center" vertical="center"/>
    </xf>
    <xf numFmtId="166" fontId="7" fillId="5" borderId="1"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wrapText="1"/>
    </xf>
    <xf numFmtId="166" fontId="18" fillId="3"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166" fontId="21" fillId="8" borderId="1" xfId="0" applyNumberFormat="1" applyFont="1" applyFill="1" applyBorder="1" applyAlignment="1">
      <alignment horizontal="center" vertical="center" wrapText="1"/>
    </xf>
    <xf numFmtId="166" fontId="21" fillId="0" borderId="1" xfId="0" applyNumberFormat="1" applyFont="1" applyBorder="1" applyAlignment="1">
      <alignment horizontal="center" vertical="center" wrapText="1"/>
    </xf>
    <xf numFmtId="0" fontId="29" fillId="6" borderId="1" xfId="0" applyFont="1" applyFill="1" applyBorder="1" applyAlignment="1">
      <alignment horizontal="left" vertical="center" wrapText="1"/>
    </xf>
    <xf numFmtId="49" fontId="9" fillId="0" borderId="1" xfId="0" applyNumberFormat="1" applyFont="1" applyBorder="1" applyAlignment="1">
      <alignment horizontal="center" vertical="center" wrapText="1"/>
    </xf>
    <xf numFmtId="0" fontId="18" fillId="5" borderId="1" xfId="0" applyFont="1" applyFill="1" applyBorder="1" applyAlignment="1">
      <alignment wrapText="1"/>
    </xf>
    <xf numFmtId="49" fontId="8" fillId="5" borderId="1" xfId="0" applyNumberFormat="1" applyFont="1" applyFill="1" applyBorder="1" applyAlignment="1">
      <alignment horizontal="center" vertical="center" wrapText="1"/>
    </xf>
    <xf numFmtId="166" fontId="18" fillId="5"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49" fontId="7" fillId="8" borderId="1"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10" fillId="6" borderId="1" xfId="0" applyNumberFormat="1" applyFont="1" applyFill="1" applyBorder="1" applyAlignment="1">
      <alignment horizontal="center" vertical="center"/>
    </xf>
    <xf numFmtId="0" fontId="30" fillId="6" borderId="1" xfId="0" applyFont="1" applyFill="1" applyBorder="1" applyAlignment="1">
      <alignment horizontal="left" vertical="center" wrapText="1"/>
    </xf>
    <xf numFmtId="49" fontId="62" fillId="0" borderId="1" xfId="0" applyNumberFormat="1" applyFont="1" applyBorder="1" applyAlignment="1">
      <alignment horizontal="center" vertical="center"/>
    </xf>
    <xf numFmtId="0" fontId="53" fillId="8" borderId="1" xfId="0" applyFont="1" applyFill="1" applyBorder="1" applyAlignment="1">
      <alignment vertical="top" wrapText="1"/>
    </xf>
    <xf numFmtId="0" fontId="8" fillId="0" borderId="1" xfId="0" applyFont="1" applyBorder="1" applyAlignment="1">
      <alignment horizontal="center" vertical="center" wrapText="1"/>
    </xf>
    <xf numFmtId="0" fontId="7" fillId="0" borderId="0" xfId="0" applyFont="1" applyAlignment="1">
      <alignment horizontal="right"/>
    </xf>
    <xf numFmtId="166" fontId="9" fillId="2" borderId="0" xfId="0" applyNumberFormat="1" applyFont="1" applyFill="1" applyAlignment="1">
      <alignment horizontal="right"/>
    </xf>
    <xf numFmtId="0" fontId="7" fillId="0" borderId="0" xfId="0" applyFont="1" applyAlignment="1">
      <alignment horizontal="right" wrapText="1"/>
    </xf>
    <xf numFmtId="0" fontId="7" fillId="0" borderId="1" xfId="0" applyFont="1" applyBorder="1" applyAlignment="1">
      <alignment horizontal="center" vertical="center"/>
    </xf>
    <xf numFmtId="0" fontId="30" fillId="8" borderId="1" xfId="0" applyFont="1" applyFill="1" applyBorder="1" applyAlignment="1">
      <alignment horizontal="center" vertical="center"/>
    </xf>
    <xf numFmtId="0" fontId="31" fillId="8" borderId="1" xfId="0" applyFont="1" applyFill="1" applyBorder="1" applyAlignment="1">
      <alignment horizontal="center" vertical="center" wrapText="1"/>
    </xf>
    <xf numFmtId="49" fontId="20" fillId="7" borderId="1" xfId="0" applyNumberFormat="1" applyFont="1" applyFill="1" applyBorder="1" applyAlignment="1">
      <alignment horizontal="center" vertical="center"/>
    </xf>
    <xf numFmtId="49" fontId="20" fillId="8" borderId="1" xfId="0" applyNumberFormat="1" applyFont="1" applyFill="1" applyBorder="1" applyAlignment="1">
      <alignment horizontal="center" vertical="center"/>
    </xf>
    <xf numFmtId="0" fontId="60" fillId="8" borderId="1" xfId="0" applyFont="1" applyFill="1" applyBorder="1" applyAlignment="1">
      <alignment vertical="top" wrapText="1"/>
    </xf>
    <xf numFmtId="49" fontId="20" fillId="1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49" fontId="7" fillId="11" borderId="1" xfId="0" applyNumberFormat="1" applyFont="1" applyFill="1" applyBorder="1" applyAlignment="1">
      <alignment horizontal="center" vertical="center"/>
    </xf>
    <xf numFmtId="0" fontId="21" fillId="0" borderId="1" xfId="0" applyFont="1" applyFill="1" applyBorder="1" applyAlignment="1">
      <alignment horizontal="left" vertical="center" wrapText="1"/>
    </xf>
    <xf numFmtId="0" fontId="21" fillId="10" borderId="1" xfId="0" applyFont="1" applyFill="1" applyBorder="1" applyAlignment="1">
      <alignment horizontal="left" vertical="center" wrapText="1"/>
    </xf>
    <xf numFmtId="166" fontId="20" fillId="10" borderId="1" xfId="0" applyNumberFormat="1" applyFont="1" applyFill="1" applyBorder="1" applyAlignment="1">
      <alignment horizontal="center" vertical="center"/>
    </xf>
    <xf numFmtId="0" fontId="47" fillId="10" borderId="1" xfId="0" applyFont="1" applyFill="1" applyBorder="1" applyAlignment="1">
      <alignment horizontal="left" vertical="center" wrapText="1"/>
    </xf>
    <xf numFmtId="169" fontId="9" fillId="2" borderId="1" xfId="0" applyNumberFormat="1" applyFont="1" applyFill="1" applyBorder="1" applyAlignment="1">
      <alignment horizontal="center" vertical="center"/>
    </xf>
    <xf numFmtId="0" fontId="34" fillId="2" borderId="1" xfId="0" applyFont="1" applyFill="1" applyBorder="1" applyAlignment="1">
      <alignment horizontal="center" vertical="center" wrapText="1"/>
    </xf>
    <xf numFmtId="166" fontId="34" fillId="2" borderId="1" xfId="0" applyNumberFormat="1" applyFont="1" applyFill="1" applyBorder="1" applyAlignment="1">
      <alignment horizontal="center" vertical="center" wrapText="1"/>
    </xf>
    <xf numFmtId="0" fontId="7" fillId="8" borderId="0" xfId="0" applyFont="1" applyFill="1" applyAlignment="1">
      <alignment wrapText="1"/>
    </xf>
    <xf numFmtId="0" fontId="8" fillId="8" borderId="1" xfId="0" applyFont="1" applyFill="1" applyBorder="1" applyAlignment="1">
      <alignment horizontal="center" vertical="center"/>
    </xf>
    <xf numFmtId="0" fontId="21" fillId="8" borderId="1" xfId="0" applyFont="1" applyFill="1" applyBorder="1" applyAlignment="1">
      <alignment horizontal="center" vertical="center"/>
    </xf>
    <xf numFmtId="49" fontId="9" fillId="10" borderId="1" xfId="0" applyNumberFormat="1" applyFont="1" applyFill="1" applyBorder="1" applyAlignment="1">
      <alignment horizontal="center" vertical="center"/>
    </xf>
    <xf numFmtId="0" fontId="9" fillId="8" borderId="1" xfId="0" applyFont="1" applyFill="1" applyBorder="1" applyAlignment="1">
      <alignment horizontal="center"/>
    </xf>
    <xf numFmtId="49" fontId="9" fillId="8" borderId="1" xfId="0" applyNumberFormat="1" applyFont="1" applyFill="1" applyBorder="1" applyAlignment="1">
      <alignment horizontal="center"/>
    </xf>
    <xf numFmtId="0" fontId="63" fillId="0" borderId="1" xfId="0" applyFont="1" applyBorder="1"/>
    <xf numFmtId="0" fontId="9" fillId="0" borderId="1" xfId="0" applyFont="1" applyFill="1" applyBorder="1" applyAlignment="1">
      <alignment horizontal="left" wrapText="1"/>
    </xf>
    <xf numFmtId="49" fontId="31" fillId="5" borderId="1" xfId="0" applyNumberFormat="1" applyFont="1" applyFill="1" applyBorder="1" applyAlignment="1">
      <alignment horizontal="center" vertical="center"/>
    </xf>
    <xf numFmtId="49" fontId="10" fillId="5" borderId="1" xfId="0" applyNumberFormat="1" applyFont="1" applyFill="1" applyBorder="1" applyAlignment="1">
      <alignment horizontal="center" vertical="center" wrapText="1"/>
    </xf>
    <xf numFmtId="166" fontId="31" fillId="5" borderId="1" xfId="0" applyNumberFormat="1" applyFont="1" applyFill="1" applyBorder="1" applyAlignment="1">
      <alignment horizontal="center" vertical="center"/>
    </xf>
    <xf numFmtId="0" fontId="7" fillId="7" borderId="1" xfId="0" applyFont="1" applyFill="1" applyBorder="1" applyAlignment="1">
      <alignment horizontal="left" vertical="center" wrapText="1"/>
    </xf>
    <xf numFmtId="0" fontId="11" fillId="0" borderId="7" xfId="0" applyFont="1" applyBorder="1" applyAlignment="1">
      <alignment horizontal="center"/>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xf numFmtId="0" fontId="7" fillId="0" borderId="0" xfId="0" applyFont="1" applyAlignment="1">
      <alignment horizontal="right" wrapText="1"/>
    </xf>
    <xf numFmtId="49" fontId="6"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Fill="1" applyBorder="1" applyAlignment="1">
      <alignment horizontal="center" vertical="center"/>
    </xf>
    <xf numFmtId="0" fontId="11" fillId="0" borderId="21" xfId="0" applyNumberFormat="1" applyFont="1" applyFill="1" applyBorder="1" applyAlignment="1">
      <alignment horizontal="left" vertical="top" wrapText="1"/>
    </xf>
    <xf numFmtId="49" fontId="11" fillId="0" borderId="1" xfId="0" applyNumberFormat="1" applyFont="1" applyBorder="1" applyAlignment="1">
      <alignment horizontal="center" vertical="center" wrapText="1"/>
    </xf>
    <xf numFmtId="49" fontId="11" fillId="0" borderId="1" xfId="0" applyNumberFormat="1" applyFont="1" applyFill="1" applyBorder="1" applyAlignment="1">
      <alignment horizontal="center" wrapText="1"/>
    </xf>
    <xf numFmtId="49" fontId="11" fillId="0" borderId="1" xfId="0" applyNumberFormat="1" applyFont="1" applyFill="1" applyBorder="1" applyAlignment="1">
      <alignment horizontal="center" vertical="center"/>
    </xf>
    <xf numFmtId="0" fontId="11" fillId="0" borderId="21" xfId="0" applyNumberFormat="1" applyFont="1" applyFill="1" applyBorder="1" applyAlignment="1">
      <alignment vertical="top" wrapText="1"/>
    </xf>
    <xf numFmtId="0" fontId="6" fillId="0" borderId="7" xfId="0" applyFont="1" applyBorder="1" applyAlignment="1">
      <alignment horizontal="center" wrapText="1"/>
    </xf>
    <xf numFmtId="0" fontId="11" fillId="0" borderId="7" xfId="0" applyFont="1" applyBorder="1" applyAlignment="1">
      <alignment wrapText="1"/>
    </xf>
    <xf numFmtId="49" fontId="11" fillId="0" borderId="1" xfId="0" applyNumberFormat="1" applyFont="1" applyFill="1" applyBorder="1" applyAlignment="1">
      <alignment horizontal="center" vertical="top"/>
    </xf>
    <xf numFmtId="0" fontId="15" fillId="0" borderId="1"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15" fillId="0" borderId="1" xfId="0" applyFont="1" applyFill="1" applyBorder="1" applyAlignment="1">
      <alignment horizontal="center" vertical="center" wrapText="1"/>
    </xf>
    <xf numFmtId="0" fontId="11" fillId="0" borderId="1" xfId="0" applyNumberFormat="1" applyFont="1" applyFill="1" applyBorder="1" applyAlignment="1">
      <alignment horizontal="left" vertical="top" wrapText="1"/>
    </xf>
    <xf numFmtId="0" fontId="15" fillId="0" borderId="9" xfId="0" applyFont="1" applyBorder="1" applyAlignment="1">
      <alignment horizontal="center" vertical="top" wrapText="1"/>
    </xf>
    <xf numFmtId="0" fontId="6" fillId="0" borderId="8" xfId="0" applyFont="1" applyBorder="1" applyAlignment="1">
      <alignment horizontal="center" vertical="top" wrapText="1"/>
    </xf>
    <xf numFmtId="0" fontId="15" fillId="0" borderId="19" xfId="0" applyFont="1" applyBorder="1" applyAlignment="1">
      <alignment horizontal="center" vertical="top" wrapText="1"/>
    </xf>
    <xf numFmtId="0" fontId="11" fillId="0" borderId="9" xfId="0" applyFont="1" applyBorder="1" applyAlignment="1">
      <alignment horizontal="center"/>
    </xf>
    <xf numFmtId="0" fontId="11" fillId="0" borderId="8" xfId="0" applyFont="1" applyBorder="1" applyAlignment="1">
      <alignment horizontal="center" wrapText="1"/>
    </xf>
    <xf numFmtId="0" fontId="11" fillId="0" borderId="4" xfId="0" applyFont="1" applyBorder="1" applyAlignment="1">
      <alignment horizontal="center" wrapText="1"/>
    </xf>
    <xf numFmtId="0" fontId="11" fillId="0" borderId="10" xfId="0" applyFont="1" applyBorder="1" applyAlignment="1"/>
    <xf numFmtId="0" fontId="11" fillId="0" borderId="6" xfId="0" applyFont="1" applyBorder="1" applyAlignment="1"/>
    <xf numFmtId="0" fontId="11" fillId="0" borderId="7" xfId="0" applyFont="1" applyBorder="1" applyAlignment="1"/>
    <xf numFmtId="49" fontId="43" fillId="0" borderId="1" xfId="0" applyNumberFormat="1" applyFont="1" applyFill="1" applyBorder="1" applyAlignment="1">
      <alignment horizontal="center" vertical="top"/>
    </xf>
    <xf numFmtId="49" fontId="43" fillId="0" borderId="1" xfId="9" applyNumberFormat="1" applyFont="1" applyFill="1" applyBorder="1" applyAlignment="1">
      <alignment horizontal="center" vertical="top"/>
    </xf>
    <xf numFmtId="49" fontId="41" fillId="0" borderId="1" xfId="0" applyNumberFormat="1" applyFont="1" applyFill="1" applyBorder="1" applyAlignment="1">
      <alignment horizontal="center" vertical="top" wrapText="1"/>
    </xf>
    <xf numFmtId="49" fontId="43" fillId="0" borderId="1" xfId="0" applyNumberFormat="1" applyFont="1" applyFill="1" applyBorder="1" applyAlignment="1">
      <alignment horizontal="center" vertical="top" wrapText="1"/>
    </xf>
    <xf numFmtId="4" fontId="43" fillId="0" borderId="13" xfId="0" applyNumberFormat="1" applyFont="1" applyFill="1" applyBorder="1" applyAlignment="1">
      <alignment vertical="top" wrapText="1"/>
    </xf>
    <xf numFmtId="4" fontId="43" fillId="0" borderId="13" xfId="0" applyNumberFormat="1" applyFont="1" applyFill="1" applyBorder="1" applyAlignment="1">
      <alignment horizontal="left" vertical="top" wrapText="1"/>
    </xf>
    <xf numFmtId="0" fontId="65" fillId="0" borderId="0" xfId="0" applyFont="1" applyFill="1" applyAlignment="1">
      <alignment horizontal="left" vertical="top" wrapText="1"/>
    </xf>
    <xf numFmtId="0" fontId="43" fillId="0" borderId="1" xfId="0" quotePrefix="1" applyFont="1" applyFill="1" applyBorder="1" applyAlignment="1">
      <alignment horizontal="left" vertical="top" wrapText="1"/>
    </xf>
    <xf numFmtId="49" fontId="43" fillId="0" borderId="5" xfId="0" applyNumberFormat="1" applyFont="1" applyFill="1" applyBorder="1" applyAlignment="1">
      <alignment horizontal="center" vertical="top"/>
    </xf>
    <xf numFmtId="0" fontId="41" fillId="0" borderId="4" xfId="0" applyFont="1" applyFill="1" applyBorder="1" applyAlignment="1">
      <alignment horizontal="left" vertical="top" wrapText="1"/>
    </xf>
    <xf numFmtId="166" fontId="41" fillId="0" borderId="4" xfId="0" applyNumberFormat="1" applyFont="1" applyBorder="1" applyAlignment="1">
      <alignment horizontal="center" vertical="top" wrapText="1"/>
    </xf>
    <xf numFmtId="0" fontId="40" fillId="0" borderId="1" xfId="0" applyFont="1" applyBorder="1" applyAlignment="1">
      <alignment horizontal="center"/>
    </xf>
    <xf numFmtId="165" fontId="40" fillId="0" borderId="1" xfId="0" applyNumberFormat="1" applyFont="1" applyBorder="1" applyAlignment="1">
      <alignment horizontal="center"/>
    </xf>
    <xf numFmtId="165" fontId="40" fillId="0" borderId="1" xfId="0" applyNumberFormat="1" applyFont="1" applyBorder="1"/>
    <xf numFmtId="10" fontId="0" fillId="0" borderId="0" xfId="0" applyNumberFormat="1"/>
    <xf numFmtId="49" fontId="43" fillId="0" borderId="5" xfId="0" applyNumberFormat="1" applyFont="1" applyFill="1" applyBorder="1" applyAlignment="1">
      <alignment horizontal="center" vertical="center"/>
    </xf>
    <xf numFmtId="0" fontId="7" fillId="0" borderId="1" xfId="0" applyNumberFormat="1" applyFont="1" applyBorder="1" applyAlignment="1">
      <alignment horizontal="left" vertical="top" wrapText="1"/>
    </xf>
    <xf numFmtId="0" fontId="7" fillId="0" borderId="1" xfId="0" applyFont="1" applyBorder="1" applyAlignment="1">
      <alignment horizontal="center" vertical="center" wrapText="1"/>
    </xf>
    <xf numFmtId="49" fontId="7" fillId="0" borderId="0" xfId="0" applyNumberFormat="1" applyFont="1" applyAlignment="1">
      <alignment horizontal="center" vertical="top" wrapText="1"/>
    </xf>
    <xf numFmtId="0" fontId="52" fillId="8" borderId="1" xfId="0" applyFont="1" applyFill="1" applyBorder="1" applyAlignment="1">
      <alignment horizontal="center" vertical="top" wrapText="1"/>
    </xf>
    <xf numFmtId="169" fontId="44" fillId="0" borderId="1" xfId="0" applyNumberFormat="1" applyFont="1" applyFill="1" applyBorder="1" applyAlignment="1">
      <alignment horizontal="center" vertical="top" wrapText="1"/>
    </xf>
    <xf numFmtId="0" fontId="11" fillId="0" borderId="1" xfId="0" applyFont="1" applyBorder="1"/>
    <xf numFmtId="0" fontId="8" fillId="0" borderId="1" xfId="0" applyFont="1" applyBorder="1"/>
    <xf numFmtId="166" fontId="7" fillId="8" borderId="1" xfId="0" applyNumberFormat="1" applyFont="1" applyFill="1" applyBorder="1" applyAlignment="1">
      <alignment horizontal="center" vertical="center" wrapText="1"/>
    </xf>
    <xf numFmtId="166" fontId="7" fillId="8" borderId="1" xfId="2" applyNumberFormat="1" applyFont="1" applyFill="1" applyBorder="1" applyAlignment="1">
      <alignment horizontal="center"/>
    </xf>
    <xf numFmtId="0" fontId="7" fillId="0" borderId="4" xfId="0" applyFont="1" applyBorder="1" applyAlignment="1">
      <alignment horizontal="center" vertical="center" wrapText="1"/>
    </xf>
    <xf numFmtId="169" fontId="8" fillId="0" borderId="1" xfId="0" applyNumberFormat="1" applyFont="1" applyBorder="1"/>
    <xf numFmtId="169" fontId="7" fillId="0" borderId="1" xfId="0" applyNumberFormat="1" applyFont="1" applyBorder="1"/>
    <xf numFmtId="0" fontId="21" fillId="12" borderId="1" xfId="0" applyFont="1" applyFill="1" applyBorder="1" applyAlignment="1">
      <alignment horizontal="left" vertical="center" wrapText="1"/>
    </xf>
    <xf numFmtId="0" fontId="7" fillId="12" borderId="1" xfId="0" applyFont="1" applyFill="1" applyBorder="1" applyAlignment="1">
      <alignment horizontal="center" vertical="center"/>
    </xf>
    <xf numFmtId="49" fontId="7" fillId="12" borderId="1" xfId="0" applyNumberFormat="1" applyFont="1" applyFill="1" applyBorder="1" applyAlignment="1">
      <alignment horizontal="center" vertical="center"/>
    </xf>
    <xf numFmtId="166" fontId="7" fillId="12" borderId="1" xfId="0" applyNumberFormat="1" applyFont="1" applyFill="1" applyBorder="1" applyAlignment="1">
      <alignment horizontal="center" vertical="center"/>
    </xf>
    <xf numFmtId="0" fontId="34" fillId="7" borderId="1" xfId="0" applyFont="1" applyFill="1" applyBorder="1" applyAlignment="1">
      <alignment horizontal="left" vertical="center" wrapText="1"/>
    </xf>
    <xf numFmtId="169" fontId="8" fillId="2" borderId="0" xfId="0" applyNumberFormat="1" applyFont="1" applyFill="1"/>
    <xf numFmtId="169" fontId="7" fillId="0" borderId="0" xfId="0" applyNumberFormat="1" applyFont="1" applyFill="1"/>
    <xf numFmtId="0" fontId="7" fillId="8" borderId="1" xfId="0" applyFont="1" applyFill="1" applyBorder="1" applyAlignment="1">
      <alignment horizontal="center" vertical="center"/>
    </xf>
    <xf numFmtId="169" fontId="0" fillId="0" borderId="0" xfId="0" applyNumberFormat="1"/>
    <xf numFmtId="0" fontId="31" fillId="10" borderId="1" xfId="0" applyFont="1" applyFill="1" applyBorder="1" applyAlignment="1">
      <alignment horizontal="left" vertical="center" wrapText="1"/>
    </xf>
    <xf numFmtId="0" fontId="10" fillId="7" borderId="1" xfId="0" applyFont="1" applyFill="1" applyBorder="1" applyAlignment="1">
      <alignment horizontal="left" vertical="center" wrapText="1"/>
    </xf>
    <xf numFmtId="49" fontId="10" fillId="7" borderId="1" xfId="0" applyNumberFormat="1" applyFont="1" applyFill="1" applyBorder="1" applyAlignment="1">
      <alignment horizontal="center" vertical="center"/>
    </xf>
    <xf numFmtId="0" fontId="34" fillId="0" borderId="4" xfId="0" applyFont="1" applyFill="1" applyBorder="1" applyAlignment="1">
      <alignment horizontal="center" vertical="top" wrapText="1"/>
    </xf>
    <xf numFmtId="0" fontId="8" fillId="0" borderId="1" xfId="0" applyFont="1" applyBorder="1" applyAlignment="1">
      <alignment horizontal="center"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0" xfId="0" applyFont="1" applyAlignment="1">
      <alignment horizontal="right" wrapText="1"/>
    </xf>
    <xf numFmtId="0" fontId="8" fillId="0" borderId="1" xfId="0" applyFont="1" applyBorder="1" applyAlignment="1">
      <alignment horizontal="center" wrapText="1"/>
    </xf>
    <xf numFmtId="0" fontId="9" fillId="0" borderId="1" xfId="0" applyFont="1" applyBorder="1" applyAlignment="1">
      <alignment horizontal="center"/>
    </xf>
    <xf numFmtId="0" fontId="18" fillId="0" borderId="1" xfId="0" applyFont="1" applyBorder="1" applyAlignment="1">
      <alignment horizontal="left" vertical="center" wrapText="1"/>
    </xf>
    <xf numFmtId="165" fontId="8" fillId="0" borderId="0" xfId="0" applyNumberFormat="1" applyFont="1" applyAlignment="1">
      <alignment horizontal="right"/>
    </xf>
    <xf numFmtId="0" fontId="8" fillId="0" borderId="0" xfId="0" applyFont="1" applyBorder="1" applyAlignment="1">
      <alignment horizontal="center" wrapText="1"/>
    </xf>
    <xf numFmtId="4" fontId="7" fillId="0" borderId="0" xfId="0" applyNumberFormat="1" applyFont="1"/>
    <xf numFmtId="0" fontId="6" fillId="0" borderId="1" xfId="0" applyFont="1" applyBorder="1"/>
    <xf numFmtId="165" fontId="6" fillId="0" borderId="1" xfId="0" applyNumberFormat="1" applyFont="1" applyBorder="1"/>
    <xf numFmtId="0" fontId="8" fillId="0" borderId="16" xfId="0" applyFont="1" applyBorder="1" applyAlignment="1">
      <alignment horizontal="center" wrapText="1"/>
    </xf>
    <xf numFmtId="165" fontId="7" fillId="0" borderId="0" xfId="0" applyNumberFormat="1" applyFont="1" applyBorder="1" applyAlignment="1">
      <alignment horizontal="right"/>
    </xf>
    <xf numFmtId="165" fontId="6" fillId="0" borderId="1" xfId="0" applyNumberFormat="1" applyFont="1" applyBorder="1" applyAlignment="1">
      <alignment horizontal="center" vertical="center"/>
    </xf>
    <xf numFmtId="0" fontId="9" fillId="0" borderId="1" xfId="10" applyFont="1" applyFill="1" applyBorder="1" applyAlignment="1">
      <alignment horizontal="center" vertical="top" wrapText="1"/>
    </xf>
    <xf numFmtId="0" fontId="9" fillId="0" borderId="1" xfId="10" applyNumberFormat="1" applyFont="1" applyBorder="1" applyAlignment="1">
      <alignment horizontal="center" vertical="top" wrapText="1"/>
    </xf>
    <xf numFmtId="0" fontId="9" fillId="0" borderId="1" xfId="10" applyFont="1" applyFill="1" applyBorder="1" applyAlignment="1">
      <alignment vertical="top" wrapText="1"/>
    </xf>
    <xf numFmtId="0" fontId="9" fillId="0" borderId="1" xfId="10" applyFont="1" applyFill="1" applyBorder="1" applyAlignment="1">
      <alignment horizontal="justify" vertical="top" wrapText="1"/>
    </xf>
    <xf numFmtId="0" fontId="8" fillId="0" borderId="1" xfId="0" applyFont="1" applyBorder="1" applyAlignment="1">
      <alignment horizontal="center" wrapText="1"/>
    </xf>
    <xf numFmtId="0" fontId="50" fillId="0" borderId="1" xfId="0" applyFont="1" applyBorder="1" applyAlignment="1">
      <alignment wrapText="1"/>
    </xf>
    <xf numFmtId="0" fontId="52" fillId="0" borderId="1" xfId="0" applyFont="1" applyBorder="1" applyAlignment="1">
      <alignment wrapText="1"/>
    </xf>
    <xf numFmtId="0" fontId="67" fillId="5" borderId="1" xfId="0" applyFont="1" applyFill="1" applyBorder="1" applyAlignment="1">
      <alignment wrapText="1"/>
    </xf>
    <xf numFmtId="49" fontId="9" fillId="5" borderId="1" xfId="0" applyNumberFormat="1" applyFont="1" applyFill="1" applyBorder="1" applyAlignment="1">
      <alignment horizontal="center" vertical="center"/>
    </xf>
    <xf numFmtId="0" fontId="50" fillId="6" borderId="1" xfId="0" applyFont="1" applyFill="1" applyBorder="1" applyAlignment="1">
      <alignment wrapText="1"/>
    </xf>
    <xf numFmtId="166" fontId="9" fillId="6" borderId="1" xfId="0" applyNumberFormat="1" applyFont="1" applyFill="1" applyBorder="1" applyAlignment="1">
      <alignment horizontal="center" vertical="center" wrapText="1"/>
    </xf>
    <xf numFmtId="166" fontId="7" fillId="0" borderId="5" xfId="0" applyNumberFormat="1" applyFont="1" applyBorder="1" applyAlignment="1">
      <alignment horizontal="center" vertical="center"/>
    </xf>
    <xf numFmtId="166" fontId="8" fillId="8" borderId="0" xfId="0" applyNumberFormat="1" applyFont="1" applyFill="1" applyBorder="1" applyAlignment="1">
      <alignment horizontal="center" vertical="center"/>
    </xf>
    <xf numFmtId="166" fontId="7" fillId="8" borderId="0"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166" fontId="21" fillId="5" borderId="1" xfId="0" applyNumberFormat="1" applyFont="1" applyFill="1" applyBorder="1" applyAlignment="1">
      <alignment horizontal="center" vertical="center" wrapText="1"/>
    </xf>
    <xf numFmtId="0" fontId="42" fillId="0" borderId="1" xfId="0" applyFont="1" applyBorder="1" applyAlignment="1">
      <alignment horizontal="center" vertical="center"/>
    </xf>
    <xf numFmtId="0" fontId="41" fillId="0" borderId="5" xfId="0" applyFont="1" applyFill="1" applyBorder="1" applyAlignment="1">
      <alignment horizontal="center" vertical="center" wrapText="1"/>
    </xf>
    <xf numFmtId="0" fontId="43" fillId="0" borderId="4" xfId="0" applyFont="1" applyFill="1" applyBorder="1" applyAlignment="1">
      <alignment vertical="center" wrapText="1"/>
    </xf>
    <xf numFmtId="0" fontId="41" fillId="0" borderId="8" xfId="0" applyFont="1" applyFill="1" applyBorder="1" applyAlignment="1">
      <alignment horizontal="center" vertical="center" wrapText="1"/>
    </xf>
    <xf numFmtId="0" fontId="41" fillId="0" borderId="1" xfId="0" applyFont="1" applyFill="1" applyBorder="1" applyAlignment="1">
      <alignment horizontal="center" vertical="center"/>
    </xf>
    <xf numFmtId="0" fontId="40" fillId="0" borderId="1" xfId="0" applyFont="1" applyBorder="1" applyAlignment="1">
      <alignment vertical="center"/>
    </xf>
    <xf numFmtId="49" fontId="7" fillId="0" borderId="4" xfId="0" applyNumberFormat="1" applyFont="1" applyBorder="1" applyAlignment="1">
      <alignment horizontal="center" vertical="center" wrapText="1"/>
    </xf>
    <xf numFmtId="166" fontId="7" fillId="0" borderId="4" xfId="0" applyNumberFormat="1" applyFont="1" applyBorder="1" applyAlignment="1">
      <alignment horizontal="center" vertical="center"/>
    </xf>
    <xf numFmtId="0" fontId="7" fillId="5" borderId="1" xfId="0" applyFont="1" applyFill="1" applyBorder="1" applyAlignment="1">
      <alignment horizontal="center"/>
    </xf>
    <xf numFmtId="0" fontId="9" fillId="0" borderId="0" xfId="0" applyFont="1" applyFill="1" applyBorder="1" applyAlignment="1">
      <alignment horizontal="justify" vertical="top" wrapText="1"/>
    </xf>
    <xf numFmtId="49" fontId="9" fillId="8" borderId="4" xfId="0" applyNumberFormat="1" applyFont="1" applyFill="1" applyBorder="1" applyAlignment="1">
      <alignment horizontal="center" vertical="center"/>
    </xf>
    <xf numFmtId="166" fontId="9" fillId="7"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0" fontId="41" fillId="0" borderId="1" xfId="0" applyFont="1" applyFill="1" applyBorder="1" applyAlignment="1">
      <alignment horizontal="center" vertical="top" wrapText="1"/>
    </xf>
    <xf numFmtId="0" fontId="41" fillId="0" borderId="1" xfId="0" applyFont="1" applyBorder="1" applyAlignment="1">
      <alignment horizontal="center" vertical="top" wrapText="1"/>
    </xf>
    <xf numFmtId="0" fontId="7" fillId="0" borderId="0" xfId="0" applyFont="1" applyAlignment="1">
      <alignment horizontal="right"/>
    </xf>
    <xf numFmtId="0" fontId="9" fillId="0" borderId="0" xfId="0" applyFont="1" applyFill="1" applyAlignment="1">
      <alignment horizontal="right"/>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Fill="1" applyAlignment="1">
      <alignment horizontal="center" wrapText="1"/>
    </xf>
    <xf numFmtId="166" fontId="9" fillId="2" borderId="0" xfId="0" applyNumberFormat="1" applyFont="1" applyFill="1" applyAlignment="1">
      <alignment horizontal="right"/>
    </xf>
    <xf numFmtId="0" fontId="7" fillId="0" borderId="0" xfId="0" applyFont="1" applyAlignment="1">
      <alignment horizontal="right" wrapText="1"/>
    </xf>
    <xf numFmtId="4" fontId="9" fillId="0" borderId="1" xfId="0" applyNumberFormat="1" applyFont="1" applyFill="1" applyBorder="1"/>
    <xf numFmtId="166" fontId="9" fillId="0" borderId="0" xfId="0" applyNumberFormat="1" applyFont="1" applyFill="1" applyBorder="1" applyAlignment="1">
      <alignment horizontal="center" vertical="top" wrapText="1"/>
    </xf>
    <xf numFmtId="166" fontId="10" fillId="3" borderId="0" xfId="0" applyNumberFormat="1" applyFont="1" applyFill="1" applyBorder="1" applyAlignment="1">
      <alignment horizontal="center" vertical="top" wrapText="1"/>
    </xf>
    <xf numFmtId="166" fontId="9" fillId="0" borderId="0" xfId="0" applyNumberFormat="1" applyFont="1" applyFill="1" applyBorder="1" applyAlignment="1">
      <alignment horizontal="center" vertical="top"/>
    </xf>
    <xf numFmtId="166" fontId="10" fillId="5" borderId="0" xfId="0" applyNumberFormat="1" applyFont="1" applyFill="1" applyBorder="1" applyAlignment="1">
      <alignment horizontal="center" vertical="top" wrapText="1"/>
    </xf>
    <xf numFmtId="166" fontId="9" fillId="8" borderId="0" xfId="0" applyNumberFormat="1" applyFont="1" applyFill="1" applyBorder="1" applyAlignment="1">
      <alignment horizontal="center" vertical="top" wrapText="1"/>
    </xf>
    <xf numFmtId="166" fontId="9" fillId="8" borderId="0" xfId="0" applyNumberFormat="1" applyFont="1" applyFill="1" applyBorder="1" applyAlignment="1">
      <alignment horizontal="center" vertical="top"/>
    </xf>
    <xf numFmtId="166" fontId="9" fillId="0" borderId="0" xfId="10" applyNumberFormat="1" applyFont="1" applyFill="1" applyBorder="1" applyAlignment="1">
      <alignment horizontal="center" vertical="top"/>
    </xf>
    <xf numFmtId="166" fontId="9" fillId="5" borderId="0" xfId="0" applyNumberFormat="1" applyFont="1" applyFill="1" applyBorder="1" applyAlignment="1">
      <alignment horizontal="center" vertical="top" wrapText="1"/>
    </xf>
    <xf numFmtId="4" fontId="9" fillId="0" borderId="0" xfId="0" applyNumberFormat="1" applyFont="1" applyFill="1" applyBorder="1" applyAlignment="1">
      <alignment horizontal="center" vertical="center"/>
    </xf>
    <xf numFmtId="49" fontId="9" fillId="0" borderId="1" xfId="0" applyNumberFormat="1" applyFont="1" applyFill="1" applyBorder="1" applyAlignment="1">
      <alignment horizontal="center"/>
    </xf>
    <xf numFmtId="0" fontId="9" fillId="0" borderId="1" xfId="0" applyFont="1" applyFill="1" applyBorder="1"/>
    <xf numFmtId="0" fontId="7" fillId="0" borderId="1" xfId="0" applyFont="1" applyFill="1" applyBorder="1"/>
    <xf numFmtId="0" fontId="10" fillId="0" borderId="1" xfId="0" applyFont="1" applyBorder="1" applyAlignment="1">
      <alignment horizontal="center"/>
    </xf>
    <xf numFmtId="0" fontId="7" fillId="13" borderId="1" xfId="0" applyFont="1" applyFill="1" applyBorder="1"/>
    <xf numFmtId="171" fontId="53" fillId="0" borderId="1" xfId="0" applyNumberFormat="1" applyFont="1" applyBorder="1"/>
    <xf numFmtId="166" fontId="10" fillId="3" borderId="13" xfId="0" applyNumberFormat="1" applyFont="1" applyFill="1" applyBorder="1" applyAlignment="1">
      <alignment horizontal="center" vertical="top" wrapText="1"/>
    </xf>
    <xf numFmtId="166" fontId="9" fillId="0" borderId="13" xfId="0" applyNumberFormat="1" applyFont="1" applyFill="1" applyBorder="1" applyAlignment="1">
      <alignment horizontal="center" vertical="top" wrapText="1"/>
    </xf>
    <xf numFmtId="166" fontId="9" fillId="8" borderId="13" xfId="0" applyNumberFormat="1" applyFont="1" applyFill="1" applyBorder="1" applyAlignment="1">
      <alignment horizontal="center" vertical="top" wrapText="1"/>
    </xf>
    <xf numFmtId="166" fontId="10" fillId="5" borderId="13" xfId="0" applyNumberFormat="1" applyFont="1" applyFill="1" applyBorder="1" applyAlignment="1">
      <alignment horizontal="center" vertical="top" wrapText="1"/>
    </xf>
    <xf numFmtId="166" fontId="9" fillId="0" borderId="13" xfId="0" applyNumberFormat="1" applyFont="1" applyBorder="1" applyAlignment="1">
      <alignment horizontal="center" vertical="top"/>
    </xf>
    <xf numFmtId="0" fontId="0" fillId="0" borderId="0" xfId="0" applyBorder="1"/>
    <xf numFmtId="0" fontId="9" fillId="0" borderId="0" xfId="0" applyFont="1" applyFill="1" applyBorder="1" applyAlignment="1">
      <alignment horizontal="right"/>
    </xf>
    <xf numFmtId="0" fontId="0" fillId="0" borderId="0" xfId="0" applyBorder="1" applyAlignment="1">
      <alignment vertical="top"/>
    </xf>
    <xf numFmtId="166" fontId="0" fillId="0" borderId="0" xfId="0" applyNumberFormat="1" applyBorder="1" applyAlignment="1">
      <alignment vertical="top"/>
    </xf>
    <xf numFmtId="0" fontId="9" fillId="0" borderId="0" xfId="0" applyFont="1" applyFill="1" applyBorder="1" applyAlignment="1">
      <alignment horizontal="center" vertical="top" wrapText="1"/>
    </xf>
    <xf numFmtId="166" fontId="34" fillId="8" borderId="0" xfId="0" applyNumberFormat="1" applyFont="1" applyFill="1" applyBorder="1" applyAlignment="1">
      <alignment horizontal="center" vertical="top" wrapText="1"/>
    </xf>
    <xf numFmtId="166" fontId="9" fillId="0" borderId="0" xfId="0" applyNumberFormat="1" applyFont="1" applyBorder="1" applyAlignment="1">
      <alignment horizontal="center" vertical="top"/>
    </xf>
    <xf numFmtId="0" fontId="34" fillId="0" borderId="4" xfId="0" applyFont="1" applyFill="1" applyBorder="1" applyAlignment="1">
      <alignment horizontal="center" vertical="center" wrapText="1"/>
    </xf>
    <xf numFmtId="0" fontId="9" fillId="2" borderId="5" xfId="0" applyFont="1" applyFill="1" applyBorder="1" applyAlignment="1">
      <alignment horizontal="center" vertical="center"/>
    </xf>
    <xf numFmtId="49" fontId="9" fillId="2" borderId="5"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166" fontId="9" fillId="2" borderId="5" xfId="0" applyNumberFormat="1" applyFont="1" applyFill="1" applyBorder="1" applyAlignment="1">
      <alignment horizontal="center" vertical="center"/>
    </xf>
    <xf numFmtId="0" fontId="9" fillId="7" borderId="1" xfId="0" applyFont="1" applyFill="1" applyBorder="1" applyAlignment="1">
      <alignment horizontal="center" vertical="center" wrapText="1"/>
    </xf>
    <xf numFmtId="49" fontId="10" fillId="9" borderId="1" xfId="0" applyNumberFormat="1" applyFont="1" applyFill="1" applyBorder="1" applyAlignment="1">
      <alignment horizontal="center" vertical="center"/>
    </xf>
    <xf numFmtId="0" fontId="18" fillId="6" borderId="1" xfId="0" applyFont="1" applyFill="1" applyBorder="1" applyAlignment="1">
      <alignment horizontal="left" vertical="center" wrapText="1"/>
    </xf>
    <xf numFmtId="0" fontId="10" fillId="9"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63" fillId="0" borderId="1" xfId="0" applyFont="1" applyBorder="1" applyAlignment="1">
      <alignment wrapText="1"/>
    </xf>
    <xf numFmtId="49" fontId="9" fillId="9" borderId="1" xfId="0" applyNumberFormat="1" applyFont="1" applyFill="1" applyBorder="1" applyAlignment="1">
      <alignment horizontal="center" vertical="center"/>
    </xf>
    <xf numFmtId="166" fontId="9" fillId="9" borderId="1" xfId="0" applyNumberFormat="1" applyFont="1" applyFill="1" applyBorder="1" applyAlignment="1">
      <alignment horizontal="center" vertical="center"/>
    </xf>
    <xf numFmtId="0" fontId="31" fillId="9" borderId="1" xfId="0" applyFont="1" applyFill="1" applyBorder="1" applyAlignment="1">
      <alignment horizontal="left" vertical="center" wrapText="1"/>
    </xf>
    <xf numFmtId="49" fontId="31" fillId="9" borderId="1" xfId="0" applyNumberFormat="1" applyFont="1" applyFill="1" applyBorder="1" applyAlignment="1">
      <alignment horizontal="center" vertical="center"/>
    </xf>
    <xf numFmtId="166" fontId="31" fillId="9" borderId="1" xfId="0" applyNumberFormat="1" applyFont="1" applyFill="1" applyBorder="1" applyAlignment="1">
      <alignment horizontal="center" vertical="center"/>
    </xf>
    <xf numFmtId="49" fontId="20" fillId="9" borderId="1" xfId="0" applyNumberFormat="1" applyFont="1" applyFill="1" applyBorder="1" applyAlignment="1">
      <alignment horizontal="center" vertical="center"/>
    </xf>
    <xf numFmtId="166" fontId="7" fillId="9" borderId="1" xfId="0" applyNumberFormat="1" applyFont="1" applyFill="1" applyBorder="1" applyAlignment="1">
      <alignment horizontal="center" vertical="center"/>
    </xf>
    <xf numFmtId="0" fontId="7" fillId="9"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7" fillId="0" borderId="1" xfId="0" applyFont="1" applyFill="1" applyBorder="1" applyAlignment="1">
      <alignment wrapText="1"/>
    </xf>
    <xf numFmtId="49" fontId="7" fillId="0" borderId="4" xfId="0" applyNumberFormat="1" applyFont="1" applyFill="1" applyBorder="1" applyAlignment="1">
      <alignment horizontal="center" vertical="center"/>
    </xf>
    <xf numFmtId="49" fontId="7" fillId="0" borderId="4" xfId="0" applyNumberFormat="1" applyFont="1" applyBorder="1" applyAlignment="1">
      <alignment horizontal="center" vertical="center"/>
    </xf>
    <xf numFmtId="0" fontId="20" fillId="2" borderId="1" xfId="0" applyFont="1" applyFill="1" applyBorder="1" applyAlignment="1">
      <alignment horizontal="center" vertical="center"/>
    </xf>
    <xf numFmtId="0" fontId="20" fillId="0" borderId="1" xfId="0" applyFont="1" applyFill="1" applyBorder="1" applyAlignment="1">
      <alignment horizontal="center" vertical="center"/>
    </xf>
    <xf numFmtId="0" fontId="21" fillId="5" borderId="1" xfId="0" applyFont="1" applyFill="1" applyBorder="1" applyAlignment="1">
      <alignment horizontal="left" vertical="center" wrapText="1"/>
    </xf>
    <xf numFmtId="49" fontId="7" fillId="5" borderId="1" xfId="0" applyNumberFormat="1" applyFont="1" applyFill="1" applyBorder="1" applyAlignment="1">
      <alignment horizontal="center"/>
    </xf>
    <xf numFmtId="0" fontId="7" fillId="5" borderId="1" xfId="0" applyFont="1" applyFill="1" applyBorder="1" applyAlignment="1">
      <alignment horizontal="left" vertical="center" wrapText="1"/>
    </xf>
    <xf numFmtId="0" fontId="7" fillId="0" borderId="1" xfId="5" applyNumberFormat="1" applyFont="1" applyBorder="1" applyAlignment="1">
      <alignment wrapText="1"/>
    </xf>
    <xf numFmtId="0" fontId="9" fillId="6"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Alignment="1">
      <alignment horizontal="right"/>
    </xf>
    <xf numFmtId="0" fontId="18" fillId="5" borderId="1" xfId="0" applyFont="1" applyFill="1" applyBorder="1" applyAlignment="1">
      <alignment horizontal="left" vertical="center" wrapText="1"/>
    </xf>
    <xf numFmtId="49" fontId="8" fillId="2" borderId="1" xfId="0" applyNumberFormat="1" applyFont="1" applyFill="1" applyBorder="1" applyAlignment="1">
      <alignment horizontal="center" vertical="center"/>
    </xf>
    <xf numFmtId="49" fontId="7" fillId="7" borderId="1" xfId="0" applyNumberFormat="1" applyFont="1" applyFill="1" applyBorder="1" applyAlignment="1">
      <alignment horizontal="center" vertical="center"/>
    </xf>
    <xf numFmtId="49" fontId="8" fillId="7" borderId="1" xfId="0" applyNumberFormat="1" applyFont="1" applyFill="1" applyBorder="1" applyAlignment="1">
      <alignment horizontal="center" vertical="center"/>
    </xf>
    <xf numFmtId="49" fontId="19" fillId="7" borderId="1" xfId="0" applyNumberFormat="1" applyFont="1" applyFill="1" applyBorder="1" applyAlignment="1">
      <alignment horizontal="center" vertical="center"/>
    </xf>
    <xf numFmtId="166" fontId="8" fillId="7" borderId="1" xfId="0" applyNumberFormat="1" applyFont="1" applyFill="1" applyBorder="1" applyAlignment="1">
      <alignment horizontal="center" vertical="center"/>
    </xf>
    <xf numFmtId="0" fontId="10" fillId="6" borderId="1" xfId="0" applyFont="1" applyFill="1" applyBorder="1" applyAlignment="1">
      <alignment horizontal="center" vertical="center"/>
    </xf>
    <xf numFmtId="0" fontId="10" fillId="7" borderId="1" xfId="0" applyFont="1" applyFill="1" applyBorder="1" applyAlignment="1">
      <alignment horizontal="center" vertical="center"/>
    </xf>
    <xf numFmtId="0" fontId="29" fillId="7" borderId="1" xfId="0" applyFont="1" applyFill="1" applyBorder="1" applyAlignment="1">
      <alignment horizontal="left" vertical="center" wrapText="1"/>
    </xf>
    <xf numFmtId="0" fontId="10" fillId="6" borderId="1" xfId="0" applyFont="1" applyFill="1" applyBorder="1" applyAlignment="1">
      <alignment horizontal="center" vertical="center" wrapText="1"/>
    </xf>
    <xf numFmtId="166" fontId="7" fillId="7" borderId="1" xfId="0" applyNumberFormat="1" applyFont="1" applyFill="1" applyBorder="1" applyAlignment="1">
      <alignment horizontal="center" vertical="center"/>
    </xf>
    <xf numFmtId="0" fontId="29" fillId="2" borderId="1" xfId="0" applyFont="1" applyFill="1" applyBorder="1" applyAlignment="1">
      <alignment horizontal="left" vertical="center" wrapText="1"/>
    </xf>
    <xf numFmtId="0" fontId="7" fillId="0" borderId="1" xfId="0" applyFont="1" applyBorder="1" applyAlignment="1">
      <alignment horizontal="center" vertical="center"/>
    </xf>
    <xf numFmtId="0" fontId="8" fillId="0" borderId="1" xfId="0" applyFont="1" applyBorder="1" applyAlignment="1">
      <alignment horizontal="center" wrapText="1"/>
    </xf>
    <xf numFmtId="49" fontId="10" fillId="6" borderId="1" xfId="0" applyNumberFormat="1" applyFont="1" applyFill="1" applyBorder="1" applyAlignment="1">
      <alignment horizontal="center" vertical="center" wrapText="1"/>
    </xf>
    <xf numFmtId="166" fontId="51" fillId="0" borderId="1" xfId="0" applyNumberFormat="1" applyFont="1" applyFill="1" applyBorder="1" applyAlignment="1">
      <alignment horizontal="center" vertical="center"/>
    </xf>
    <xf numFmtId="166" fontId="10" fillId="6" borderId="1" xfId="0" applyNumberFormat="1" applyFont="1" applyFill="1" applyBorder="1" applyAlignment="1">
      <alignment horizontal="center" vertical="center" wrapText="1"/>
    </xf>
    <xf numFmtId="0" fontId="68" fillId="6" borderId="1" xfId="0" applyFont="1" applyFill="1" applyBorder="1" applyAlignment="1">
      <alignment wrapText="1"/>
    </xf>
    <xf numFmtId="0" fontId="10" fillId="6" borderId="1" xfId="0" applyFont="1" applyFill="1" applyBorder="1" applyAlignment="1">
      <alignment horizontal="center"/>
    </xf>
    <xf numFmtId="166" fontId="10" fillId="6" borderId="1" xfId="0" applyNumberFormat="1" applyFont="1" applyFill="1" applyBorder="1" applyAlignment="1">
      <alignment horizontal="center"/>
    </xf>
    <xf numFmtId="0" fontId="41" fillId="0" borderId="1" xfId="12" applyFont="1" applyFill="1" applyBorder="1" applyAlignment="1">
      <alignment horizontal="center" vertical="top" wrapText="1"/>
    </xf>
    <xf numFmtId="0" fontId="41" fillId="0" borderId="1" xfId="12" applyFont="1" applyFill="1" applyBorder="1" applyAlignment="1">
      <alignment horizontal="left" vertical="top" wrapText="1"/>
    </xf>
    <xf numFmtId="49" fontId="43" fillId="0" borderId="1" xfId="12" applyNumberFormat="1" applyFont="1" applyFill="1" applyBorder="1" applyAlignment="1">
      <alignment horizontal="center" vertical="center"/>
    </xf>
    <xf numFmtId="49" fontId="43" fillId="0" borderId="1" xfId="12" applyNumberFormat="1" applyFont="1" applyFill="1" applyBorder="1" applyAlignment="1">
      <alignment horizontal="center" vertical="top"/>
    </xf>
    <xf numFmtId="49" fontId="43" fillId="0" borderId="1" xfId="9" applyNumberFormat="1" applyFont="1" applyFill="1" applyBorder="1" applyAlignment="1">
      <alignment horizontal="center" vertical="top"/>
    </xf>
    <xf numFmtId="4" fontId="43" fillId="0" borderId="13" xfId="12" applyNumberFormat="1" applyFont="1" applyFill="1" applyBorder="1" applyAlignment="1">
      <alignment vertical="top" wrapText="1"/>
    </xf>
    <xf numFmtId="4" fontId="43" fillId="0" borderId="13" xfId="12" applyNumberFormat="1" applyFont="1" applyFill="1" applyBorder="1" applyAlignment="1">
      <alignment horizontal="left" vertical="top" wrapText="1"/>
    </xf>
    <xf numFmtId="0" fontId="65" fillId="0" borderId="0" xfId="12" applyFont="1" applyFill="1" applyAlignment="1">
      <alignment horizontal="left" vertical="top" wrapText="1"/>
    </xf>
    <xf numFmtId="49" fontId="43" fillId="0" borderId="5" xfId="12" applyNumberFormat="1" applyFont="1" applyFill="1" applyBorder="1" applyAlignment="1">
      <alignment horizontal="center" vertical="top"/>
    </xf>
    <xf numFmtId="49" fontId="43" fillId="0" borderId="5" xfId="12" applyNumberFormat="1" applyFont="1" applyFill="1" applyBorder="1" applyAlignment="1">
      <alignment horizontal="center" vertical="center"/>
    </xf>
    <xf numFmtId="4" fontId="43" fillId="0" borderId="13" xfId="12" applyNumberFormat="1" applyFont="1" applyFill="1" applyBorder="1" applyAlignment="1">
      <alignment vertical="top" wrapText="1"/>
    </xf>
    <xf numFmtId="4" fontId="43" fillId="0" borderId="13" xfId="12" applyNumberFormat="1" applyFont="1" applyFill="1" applyBorder="1" applyAlignment="1">
      <alignment horizontal="left" vertical="top" wrapText="1"/>
    </xf>
    <xf numFmtId="0" fontId="7" fillId="0" borderId="13" xfId="12" applyNumberFormat="1" applyFont="1" applyBorder="1" applyAlignment="1">
      <alignment horizontal="left" vertical="top" wrapText="1"/>
    </xf>
    <xf numFmtId="0" fontId="43" fillId="0" borderId="13" xfId="12" quotePrefix="1" applyFont="1" applyFill="1" applyBorder="1" applyAlignment="1">
      <alignment horizontal="left" vertical="top" wrapText="1"/>
    </xf>
    <xf numFmtId="166" fontId="66" fillId="0" borderId="1" xfId="15" applyNumberFormat="1" applyFont="1" applyBorder="1" applyAlignment="1">
      <alignment horizontal="center" vertical="center"/>
    </xf>
    <xf numFmtId="0" fontId="29" fillId="8" borderId="1" xfId="0" applyFont="1" applyFill="1" applyBorder="1" applyAlignment="1">
      <alignment horizontal="left" vertical="center" wrapText="1"/>
    </xf>
    <xf numFmtId="0" fontId="8" fillId="0" borderId="1" xfId="0" applyFont="1" applyBorder="1" applyAlignment="1">
      <alignment horizontal="center" wrapText="1"/>
    </xf>
    <xf numFmtId="166" fontId="9" fillId="8" borderId="9" xfId="0" applyNumberFormat="1" applyFont="1" applyFill="1" applyBorder="1" applyAlignment="1">
      <alignment horizontal="center" vertical="center"/>
    </xf>
    <xf numFmtId="169" fontId="7" fillId="0" borderId="0" xfId="0" applyNumberFormat="1" applyFont="1" applyBorder="1"/>
    <xf numFmtId="0" fontId="9" fillId="0" borderId="0" xfId="0" applyFont="1" applyFill="1" applyAlignment="1">
      <alignment horizontal="right"/>
    </xf>
    <xf numFmtId="4" fontId="43" fillId="0" borderId="1" xfId="12" applyNumberFormat="1" applyFont="1" applyFill="1" applyBorder="1" applyAlignment="1">
      <alignment vertical="top" wrapText="1"/>
    </xf>
    <xf numFmtId="166" fontId="66" fillId="0" borderId="1" xfId="16" applyNumberFormat="1" applyFont="1" applyBorder="1" applyAlignment="1">
      <alignment horizontal="center" vertical="center"/>
    </xf>
    <xf numFmtId="166" fontId="66" fillId="0" borderId="1" xfId="17" applyNumberFormat="1" applyFont="1" applyBorder="1" applyAlignment="1">
      <alignment horizontal="center" vertical="center"/>
    </xf>
    <xf numFmtId="4" fontId="43" fillId="0" borderId="1" xfId="12" applyNumberFormat="1" applyFont="1" applyFill="1" applyBorder="1" applyAlignment="1">
      <alignment horizontal="left" vertical="top" wrapText="1"/>
    </xf>
    <xf numFmtId="0" fontId="65" fillId="0" borderId="1" xfId="12" applyFont="1" applyFill="1" applyBorder="1" applyAlignment="1">
      <alignment horizontal="left" vertical="top" wrapText="1"/>
    </xf>
    <xf numFmtId="0" fontId="7" fillId="0" borderId="1" xfId="12" applyNumberFormat="1" applyFont="1" applyBorder="1" applyAlignment="1">
      <alignment horizontal="left" vertical="top" wrapText="1"/>
    </xf>
    <xf numFmtId="166" fontId="66" fillId="0" borderId="1" xfId="16" applyNumberFormat="1" applyFont="1" applyFill="1" applyBorder="1" applyAlignment="1">
      <alignment horizontal="center" vertical="center"/>
    </xf>
    <xf numFmtId="166" fontId="66" fillId="0" borderId="1" xfId="17" applyNumberFormat="1" applyFont="1" applyFill="1" applyBorder="1" applyAlignment="1">
      <alignment horizontal="center" vertical="center"/>
    </xf>
    <xf numFmtId="0" fontId="43" fillId="0" borderId="1" xfId="12" quotePrefix="1" applyFont="1" applyFill="1" applyBorder="1" applyAlignment="1">
      <alignment horizontal="left" vertical="top" wrapText="1"/>
    </xf>
    <xf numFmtId="166" fontId="9" fillId="8" borderId="1" xfId="10" applyNumberFormat="1" applyFont="1" applyFill="1" applyBorder="1" applyAlignment="1">
      <alignment horizontal="center" vertical="top"/>
    </xf>
    <xf numFmtId="0" fontId="9" fillId="8" borderId="1" xfId="0" applyFont="1" applyFill="1" applyBorder="1" applyAlignment="1">
      <alignment horizontal="justify" vertical="top" wrapText="1"/>
    </xf>
    <xf numFmtId="0" fontId="9" fillId="8" borderId="1" xfId="0" applyFont="1" applyFill="1" applyBorder="1" applyAlignment="1">
      <alignment horizontal="left" vertical="top" wrapText="1"/>
    </xf>
    <xf numFmtId="166" fontId="0" fillId="8" borderId="0" xfId="0" applyNumberFormat="1" applyFill="1" applyBorder="1" applyAlignment="1">
      <alignment vertical="top"/>
    </xf>
    <xf numFmtId="0" fontId="9" fillId="8" borderId="1" xfId="10" applyFont="1" applyFill="1" applyBorder="1" applyAlignment="1">
      <alignment vertical="top" wrapText="1"/>
    </xf>
    <xf numFmtId="0" fontId="9" fillId="0" borderId="0" xfId="0" applyFont="1" applyAlignment="1"/>
    <xf numFmtId="0" fontId="11" fillId="0" borderId="4" xfId="0" applyFont="1" applyBorder="1"/>
    <xf numFmtId="0" fontId="7" fillId="0" borderId="4" xfId="0" applyFont="1" applyBorder="1" applyAlignment="1">
      <alignment horizontal="left" vertical="center" wrapText="1"/>
    </xf>
    <xf numFmtId="166" fontId="7" fillId="0" borderId="4" xfId="0" applyNumberFormat="1" applyFont="1" applyBorder="1" applyAlignment="1">
      <alignment horizontal="center"/>
    </xf>
    <xf numFmtId="166" fontId="7" fillId="0" borderId="1" xfId="0" applyNumberFormat="1" applyFont="1" applyBorder="1" applyAlignment="1">
      <alignment horizontal="center"/>
    </xf>
    <xf numFmtId="166" fontId="23" fillId="0" borderId="1" xfId="0" applyNumberFormat="1"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vertical="center" wrapText="1"/>
    </xf>
    <xf numFmtId="0" fontId="7" fillId="0" borderId="26" xfId="0" applyFont="1" applyBorder="1" applyAlignment="1">
      <alignment horizontal="center" vertical="center"/>
    </xf>
    <xf numFmtId="0" fontId="52" fillId="0" borderId="26" xfId="0" applyFont="1" applyBorder="1" applyAlignment="1">
      <alignment horizontal="center" vertical="center" wrapText="1"/>
    </xf>
    <xf numFmtId="0" fontId="7" fillId="0" borderId="26" xfId="0" applyFont="1" applyBorder="1" applyAlignment="1">
      <alignment horizontal="justify" vertical="center" wrapText="1"/>
    </xf>
    <xf numFmtId="0" fontId="52" fillId="0" borderId="26" xfId="0" applyFont="1" applyBorder="1" applyAlignment="1">
      <alignment vertical="center" wrapText="1"/>
    </xf>
    <xf numFmtId="0" fontId="7" fillId="14" borderId="26" xfId="0" applyFont="1" applyFill="1" applyBorder="1" applyAlignment="1">
      <alignment horizontal="center" vertical="center"/>
    </xf>
    <xf numFmtId="0" fontId="52" fillId="14" borderId="26" xfId="0" applyFont="1" applyFill="1" applyBorder="1" applyAlignment="1">
      <alignment horizontal="center" vertical="center" wrapText="1"/>
    </xf>
    <xf numFmtId="0" fontId="52" fillId="14" borderId="26" xfId="0" applyFont="1" applyFill="1" applyBorder="1" applyAlignment="1">
      <alignment vertical="center" wrapText="1"/>
    </xf>
    <xf numFmtId="49" fontId="6" fillId="0" borderId="1" xfId="0" applyNumberFormat="1" applyFont="1" applyBorder="1" applyAlignment="1">
      <alignment horizontal="center" wrapText="1"/>
    </xf>
    <xf numFmtId="0" fontId="6" fillId="0" borderId="1" xfId="0" applyFont="1" applyBorder="1" applyAlignment="1">
      <alignment horizontal="center" wrapText="1"/>
    </xf>
    <xf numFmtId="0" fontId="6" fillId="0" borderId="3" xfId="0" applyFont="1" applyBorder="1" applyAlignment="1">
      <alignment horizontal="center" wrapText="1"/>
    </xf>
    <xf numFmtId="0" fontId="8" fillId="0" borderId="0" xfId="0" applyFont="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11" fillId="0" borderId="8" xfId="0" applyFont="1" applyBorder="1" applyAlignment="1">
      <alignment horizontal="center" wrapText="1"/>
    </xf>
    <xf numFmtId="0" fontId="6" fillId="0" borderId="1"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1" xfId="0" applyFont="1" applyBorder="1" applyAlignment="1">
      <alignment horizontal="center" vertical="top" wrapText="1"/>
    </xf>
    <xf numFmtId="0" fontId="11" fillId="0" borderId="5" xfId="0" applyFont="1" applyBorder="1" applyAlignment="1">
      <alignment horizontal="center" wrapText="1"/>
    </xf>
    <xf numFmtId="0" fontId="8" fillId="0" borderId="1" xfId="0" applyFont="1" applyBorder="1" applyAlignment="1">
      <alignment horizontal="center" wrapText="1"/>
    </xf>
    <xf numFmtId="0" fontId="8" fillId="0" borderId="1" xfId="0" applyFont="1" applyBorder="1" applyAlignment="1">
      <alignment horizontal="center" vertical="top"/>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8" fillId="0" borderId="5" xfId="0" applyFont="1" applyBorder="1" applyAlignment="1">
      <alignment horizontal="center" vertical="top"/>
    </xf>
    <xf numFmtId="0" fontId="8" fillId="0" borderId="8" xfId="0" applyFont="1" applyBorder="1" applyAlignment="1">
      <alignment horizontal="center" vertical="top"/>
    </xf>
    <xf numFmtId="0" fontId="8" fillId="0" borderId="4" xfId="0" applyFont="1" applyBorder="1" applyAlignment="1">
      <alignment horizontal="center" vertical="top"/>
    </xf>
    <xf numFmtId="0" fontId="20"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3" applyFont="1" applyBorder="1" applyAlignment="1">
      <alignment horizontal="center" vertical="top" wrapText="1"/>
    </xf>
    <xf numFmtId="0" fontId="14" fillId="0" borderId="1" xfId="0" applyFont="1" applyBorder="1" applyAlignment="1">
      <alignment horizontal="center" vertical="top" wrapText="1"/>
    </xf>
    <xf numFmtId="0" fontId="8" fillId="0" borderId="1" xfId="3" applyFont="1" applyBorder="1" applyAlignment="1">
      <alignment horizontal="center" vertical="center" wrapText="1"/>
    </xf>
    <xf numFmtId="0" fontId="8" fillId="0" borderId="1" xfId="3" applyFont="1" applyBorder="1" applyAlignment="1">
      <alignment horizontal="center" wrapText="1"/>
    </xf>
    <xf numFmtId="0" fontId="8" fillId="0" borderId="1" xfId="3" applyFont="1" applyBorder="1" applyAlignment="1">
      <alignment horizontal="center" vertical="center"/>
    </xf>
    <xf numFmtId="0" fontId="8" fillId="0" borderId="1" xfId="0" applyFont="1" applyBorder="1" applyAlignment="1">
      <alignment horizontal="center" vertical="center" wrapText="1"/>
    </xf>
    <xf numFmtId="0" fontId="41" fillId="0" borderId="5"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0" fillId="0" borderId="22" xfId="0" applyFont="1" applyFill="1" applyBorder="1" applyAlignment="1">
      <alignment horizontal="center" vertical="center"/>
    </xf>
    <xf numFmtId="0" fontId="43" fillId="0" borderId="5"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0" fillId="0" borderId="5"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4" xfId="0" applyFont="1" applyFill="1" applyBorder="1" applyAlignment="1">
      <alignment horizontal="center" vertical="center"/>
    </xf>
    <xf numFmtId="0" fontId="41" fillId="0" borderId="1" xfId="0" applyFont="1" applyFill="1" applyBorder="1" applyAlignment="1">
      <alignment horizontal="center" vertical="top" wrapText="1"/>
    </xf>
    <xf numFmtId="0" fontId="40" fillId="0" borderId="1" xfId="0" applyFont="1" applyFill="1" applyBorder="1" applyAlignment="1">
      <alignment horizontal="center" wrapText="1"/>
    </xf>
    <xf numFmtId="0" fontId="7" fillId="0" borderId="0" xfId="0" applyFont="1" applyFill="1" applyAlignment="1">
      <alignment horizontal="right"/>
    </xf>
    <xf numFmtId="0" fontId="41" fillId="0" borderId="0" xfId="0" applyFont="1" applyFill="1" applyBorder="1" applyAlignment="1">
      <alignment horizontal="center" vertical="top" wrapText="1"/>
    </xf>
    <xf numFmtId="0" fontId="41" fillId="0" borderId="0" xfId="0" applyFont="1" applyBorder="1" applyAlignment="1">
      <alignment horizontal="center" vertical="top" wrapText="1"/>
    </xf>
    <xf numFmtId="0" fontId="41" fillId="0" borderId="1" xfId="0" applyFont="1" applyBorder="1" applyAlignment="1">
      <alignment horizontal="center" vertical="top" wrapText="1"/>
    </xf>
    <xf numFmtId="0" fontId="40" fillId="0" borderId="1" xfId="0" applyFont="1" applyBorder="1" applyAlignment="1">
      <alignment horizontal="center" wrapText="1"/>
    </xf>
    <xf numFmtId="0" fontId="7" fillId="0" borderId="0" xfId="0" applyFont="1" applyAlignment="1">
      <alignment horizontal="right"/>
    </xf>
    <xf numFmtId="0" fontId="9" fillId="0" borderId="0" xfId="0" applyFont="1" applyFill="1" applyAlignment="1">
      <alignment horizontal="right"/>
    </xf>
    <xf numFmtId="0" fontId="10" fillId="0" borderId="1" xfId="0" applyFont="1" applyFill="1" applyBorder="1" applyAlignment="1">
      <alignment horizontal="center" vertical="top" wrapText="1"/>
    </xf>
    <xf numFmtId="0" fontId="10" fillId="0" borderId="5"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Fill="1" applyAlignment="1">
      <alignment horizontal="center" wrapText="1"/>
    </xf>
    <xf numFmtId="0" fontId="0" fillId="0" borderId="0" xfId="0" applyAlignment="1">
      <alignment horizontal="center"/>
    </xf>
    <xf numFmtId="0" fontId="0" fillId="0" borderId="16" xfId="0" applyBorder="1" applyAlignment="1">
      <alignment horizont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Border="1" applyAlignment="1">
      <alignment horizontal="center" vertical="top" wrapText="1"/>
    </xf>
    <xf numFmtId="0" fontId="9" fillId="0" borderId="0" xfId="0" applyFont="1" applyAlignment="1">
      <alignment horizontal="right" wrapText="1"/>
    </xf>
    <xf numFmtId="0" fontId="10" fillId="2" borderId="0" xfId="0" applyFont="1" applyFill="1" applyBorder="1" applyAlignment="1">
      <alignment horizontal="center" wrapText="1"/>
    </xf>
    <xf numFmtId="166" fontId="9" fillId="2" borderId="0" xfId="0" applyNumberFormat="1" applyFont="1" applyFill="1" applyAlignment="1">
      <alignment horizontal="right"/>
    </xf>
    <xf numFmtId="0" fontId="10" fillId="2" borderId="0" xfId="0" applyFont="1" applyFill="1" applyBorder="1" applyAlignment="1">
      <alignment horizontal="center" vertical="center" wrapText="1"/>
    </xf>
    <xf numFmtId="166" fontId="10" fillId="2" borderId="0" xfId="0" applyNumberFormat="1" applyFont="1" applyFill="1" applyBorder="1" applyAlignment="1">
      <alignment horizontal="center" vertical="center" wrapText="1"/>
    </xf>
    <xf numFmtId="0" fontId="28" fillId="2" borderId="0" xfId="0" applyFont="1" applyFill="1" applyAlignment="1">
      <alignment horizontal="center" wrapText="1"/>
    </xf>
    <xf numFmtId="166" fontId="28" fillId="2" borderId="0" xfId="0" applyNumberFormat="1" applyFont="1" applyFill="1" applyAlignment="1">
      <alignment horizontal="center" wrapText="1"/>
    </xf>
    <xf numFmtId="0" fontId="9" fillId="0" borderId="0" xfId="0" applyFont="1" applyAlignment="1">
      <alignment horizontal="right"/>
    </xf>
    <xf numFmtId="0" fontId="4"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wrapText="1"/>
    </xf>
    <xf numFmtId="0" fontId="0" fillId="0" borderId="0" xfId="0" applyFont="1" applyAlignment="1">
      <alignment horizontal="center" wrapText="1"/>
    </xf>
    <xf numFmtId="0" fontId="7" fillId="0" borderId="0" xfId="0" applyFont="1" applyAlignment="1">
      <alignment horizontal="right" wrapText="1"/>
    </xf>
    <xf numFmtId="0" fontId="7" fillId="0" borderId="1" xfId="0" applyFont="1" applyBorder="1" applyAlignment="1">
      <alignment horizontal="center" vertical="center"/>
    </xf>
    <xf numFmtId="0" fontId="7" fillId="0" borderId="13" xfId="0" applyFont="1" applyBorder="1" applyAlignment="1">
      <alignment wrapText="1"/>
    </xf>
    <xf numFmtId="0" fontId="7" fillId="0" borderId="9" xfId="0" applyFont="1" applyBorder="1" applyAlignment="1">
      <alignment wrapText="1"/>
    </xf>
    <xf numFmtId="0" fontId="8" fillId="0" borderId="0" xfId="0" applyFont="1" applyAlignment="1">
      <alignment horizontal="center" vertical="top" wrapText="1"/>
    </xf>
    <xf numFmtId="0" fontId="8" fillId="0" borderId="0" xfId="0" applyFont="1" applyAlignment="1">
      <alignment horizontal="center"/>
    </xf>
    <xf numFmtId="0" fontId="7" fillId="0" borderId="1" xfId="0" applyFont="1" applyBorder="1" applyAlignment="1">
      <alignment horizontal="center" vertical="center" wrapText="1"/>
    </xf>
    <xf numFmtId="0" fontId="7" fillId="0" borderId="5"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wrapText="1"/>
    </xf>
    <xf numFmtId="0" fontId="14" fillId="0" borderId="0" xfId="0" applyFont="1" applyAlignment="1">
      <alignment wrapText="1"/>
    </xf>
    <xf numFmtId="0" fontId="8" fillId="0" borderId="0" xfId="0" applyFont="1" applyBorder="1" applyAlignment="1">
      <alignment horizontal="center" wrapText="1"/>
    </xf>
    <xf numFmtId="0" fontId="17" fillId="0" borderId="0" xfId="0" applyFont="1" applyAlignment="1"/>
    <xf numFmtId="0" fontId="22" fillId="0" borderId="0" xfId="0" applyFont="1" applyFill="1" applyAlignment="1">
      <alignment horizontal="center" vertical="top" wrapText="1"/>
    </xf>
    <xf numFmtId="0" fontId="25" fillId="0" borderId="0" xfId="0" applyFont="1" applyAlignment="1">
      <alignment horizontal="center" wrapText="1"/>
    </xf>
    <xf numFmtId="0" fontId="7" fillId="0" borderId="0" xfId="0" applyFont="1" applyAlignment="1">
      <alignment horizontal="center" wrapText="1"/>
    </xf>
    <xf numFmtId="0" fontId="0" fillId="0" borderId="0" xfId="0"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9"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9" xfId="0" applyFont="1" applyBorder="1" applyAlignment="1">
      <alignment horizontal="center"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9" xfId="0" applyFont="1" applyBorder="1" applyAlignment="1">
      <alignment horizontal="center"/>
    </xf>
  </cellXfs>
  <cellStyles count="18">
    <cellStyle name="Гиперссылка" xfId="1" builtinId="8"/>
    <cellStyle name="Обычный" xfId="0" builtinId="0"/>
    <cellStyle name="Обычный 2" xfId="10"/>
    <cellStyle name="Обычный 2 2" xfId="2"/>
    <cellStyle name="Обычный 2 3" xfId="15"/>
    <cellStyle name="Обычный 3" xfId="12"/>
    <cellStyle name="Обычный 4" xfId="11"/>
    <cellStyle name="Обычный 5" xfId="16"/>
    <cellStyle name="Обычный 6" xfId="9"/>
    <cellStyle name="Обычный 7" xfId="17"/>
    <cellStyle name="Обычный_Источ" xfId="3"/>
    <cellStyle name="Обычный_пр. 10" xfId="4"/>
    <cellStyle name="Обычный_пр. 7" xfId="5"/>
    <cellStyle name="Обычный_свод" xfId="6"/>
    <cellStyle name="Процентный" xfId="7" builtinId="5"/>
    <cellStyle name="Процентный 2" xfId="13"/>
    <cellStyle name="Финансовый" xfId="8" builtinId="3"/>
    <cellStyle name="Финансовый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1041;&#1102;&#1076;&#1078;&#1077;&#1090;%202018-2020%20&#1075;&#1086;&#1076;&#1099;\3_&#1072;&#1087;&#1088;&#1077;&#1083;&#1100;\&#1055;&#1088;&#1080;&#1083;&#1086;&#1078;&#1077;&#1085;&#1080;&#1103;%201-11%2025&#1089;&#1077;&#1085;&#1090;&#1103;&#1073;&#1088;&#11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1"/>
      <sheetName val="пр.2"/>
      <sheetName val="пр.3"/>
      <sheetName val="пр.3-1"/>
      <sheetName val="пр. 4"/>
      <sheetName val="пр. 5"/>
      <sheetName val="пр. 6"/>
      <sheetName val="пр. 7"/>
      <sheetName val="пр. 8"/>
      <sheetName val="пр.9"/>
      <sheetName val="пр. 10"/>
      <sheetName val="пр. 11"/>
      <sheetName val="город "/>
      <sheetName val="поправки "/>
      <sheetName val="поправки упрощ.вариант "/>
      <sheetName val="ППНиНДi"/>
      <sheetName val="Рi пр"/>
      <sheetName val="Дi"/>
      <sheetName val="Нпрi"/>
      <sheetName val="Лист1"/>
      <sheetName val="Лист2"/>
      <sheetName val="касс.пла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9">
          <cell r="H49">
            <v>0</v>
          </cell>
        </row>
        <row r="758">
          <cell r="H758">
            <v>388583.76954000001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main?base=LAW;n=117058;fld=134;dst=1304"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hyperlink" Target="http://www.pandia.ru/text/category/munitcipalmznie_obrazovaniya/" TargetMode="External"/><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1.bin"/><Relationship Id="rId1" Type="http://schemas.openxmlformats.org/officeDocument/2006/relationships/hyperlink" Target="http://www.pandia.ru/text/category/munitcipalmznie_obrazovaniya/" TargetMode="External"/><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9"/>
  </sheetPr>
  <dimension ref="A1:G89"/>
  <sheetViews>
    <sheetView view="pageBreakPreview" zoomScale="80" zoomScaleSheetLayoutView="80" workbookViewId="0">
      <selection activeCell="I14" sqref="I14"/>
    </sheetView>
  </sheetViews>
  <sheetFormatPr defaultRowHeight="12.75"/>
  <cols>
    <col min="1" max="1" width="5.28515625" style="4" customWidth="1"/>
    <col min="2" max="2" width="9.85546875" style="11" customWidth="1"/>
    <col min="3" max="3" width="24.42578125" style="4" customWidth="1"/>
    <col min="4" max="4" width="64.28515625" style="1" customWidth="1"/>
    <col min="5" max="16384" width="9.140625" style="4"/>
  </cols>
  <sheetData>
    <row r="1" spans="1:7" ht="18.75">
      <c r="A1" s="6"/>
      <c r="B1" s="9"/>
      <c r="C1" s="6"/>
      <c r="D1" s="673" t="s">
        <v>356</v>
      </c>
    </row>
    <row r="2" spans="1:7" ht="18.75">
      <c r="A2" s="6"/>
      <c r="B2" s="9"/>
      <c r="C2" s="6"/>
      <c r="D2" s="673" t="s">
        <v>199</v>
      </c>
    </row>
    <row r="3" spans="1:7" ht="15.75" customHeight="1">
      <c r="A3" s="6"/>
      <c r="B3" s="9"/>
      <c r="C3" s="6"/>
      <c r="D3" s="673" t="s">
        <v>298</v>
      </c>
    </row>
    <row r="4" spans="1:7" ht="15.75" customHeight="1">
      <c r="A4" s="6"/>
      <c r="B4" s="9"/>
      <c r="C4" s="6"/>
      <c r="D4" s="673" t="s">
        <v>148</v>
      </c>
    </row>
    <row r="5" spans="1:7" ht="18.75">
      <c r="A5" s="6"/>
      <c r="B5" s="9"/>
      <c r="C5" s="6"/>
      <c r="D5" s="673" t="s">
        <v>299</v>
      </c>
    </row>
    <row r="6" spans="1:7" ht="20.25" customHeight="1">
      <c r="A6" s="6"/>
      <c r="B6" s="9"/>
      <c r="C6" s="6"/>
      <c r="D6" s="792" t="s">
        <v>1132</v>
      </c>
      <c r="E6" s="5"/>
      <c r="F6" s="5"/>
      <c r="G6" s="5"/>
    </row>
    <row r="7" spans="1:7" ht="18.75" customHeight="1">
      <c r="A7" s="6"/>
      <c r="B7" s="9"/>
      <c r="C7" s="6"/>
      <c r="D7" s="792" t="s">
        <v>1133</v>
      </c>
    </row>
    <row r="8" spans="1:7" ht="15.75" customHeight="1">
      <c r="A8" s="6"/>
      <c r="B8" s="9"/>
      <c r="C8" s="6"/>
      <c r="D8" s="7"/>
    </row>
    <row r="9" spans="1:7" ht="40.5" customHeight="1">
      <c r="A9" s="926" t="s">
        <v>458</v>
      </c>
      <c r="B9" s="926"/>
      <c r="C9" s="926"/>
      <c r="D9" s="926"/>
    </row>
    <row r="10" spans="1:7" s="18" customFormat="1" ht="15" customHeight="1">
      <c r="A10" s="3"/>
      <c r="B10" s="10"/>
      <c r="C10" s="3"/>
      <c r="D10" s="2"/>
    </row>
    <row r="11" spans="1:7" ht="42" customHeight="1">
      <c r="A11" s="672" t="s">
        <v>357</v>
      </c>
      <c r="B11" s="927" t="s">
        <v>358</v>
      </c>
      <c r="C11" s="928"/>
      <c r="D11" s="929" t="s">
        <v>204</v>
      </c>
    </row>
    <row r="12" spans="1:7" ht="57">
      <c r="A12" s="672"/>
      <c r="B12" s="674" t="s">
        <v>359</v>
      </c>
      <c r="C12" s="672" t="s">
        <v>361</v>
      </c>
      <c r="D12" s="930"/>
    </row>
    <row r="13" spans="1:7" ht="14.25">
      <c r="A13" s="64">
        <v>1</v>
      </c>
      <c r="B13" s="931" t="s">
        <v>300</v>
      </c>
      <c r="C13" s="931"/>
      <c r="D13" s="931"/>
    </row>
    <row r="14" spans="1:7" ht="15">
      <c r="A14" s="675"/>
      <c r="B14" s="16" t="s">
        <v>303</v>
      </c>
      <c r="C14" s="8" t="s">
        <v>301</v>
      </c>
      <c r="D14" s="548" t="s">
        <v>302</v>
      </c>
    </row>
    <row r="15" spans="1:7" ht="124.5" customHeight="1">
      <c r="A15" s="675"/>
      <c r="B15" s="16" t="s">
        <v>303</v>
      </c>
      <c r="C15" s="676" t="s">
        <v>933</v>
      </c>
      <c r="D15" s="677" t="s">
        <v>934</v>
      </c>
    </row>
    <row r="16" spans="1:7" s="18" customFormat="1" ht="24.75" customHeight="1">
      <c r="A16" s="64">
        <v>2</v>
      </c>
      <c r="B16" s="923" t="s">
        <v>304</v>
      </c>
      <c r="C16" s="924"/>
      <c r="D16" s="924"/>
    </row>
    <row r="17" spans="1:4" ht="124.5" customHeight="1">
      <c r="A17" s="675"/>
      <c r="B17" s="678" t="s">
        <v>305</v>
      </c>
      <c r="C17" s="676" t="s">
        <v>933</v>
      </c>
      <c r="D17" s="677" t="s">
        <v>934</v>
      </c>
    </row>
    <row r="18" spans="1:4" ht="14.25">
      <c r="A18" s="64">
        <v>3</v>
      </c>
      <c r="B18" s="923" t="s">
        <v>123</v>
      </c>
      <c r="C18" s="923"/>
      <c r="D18" s="923"/>
    </row>
    <row r="19" spans="1:4" s="18" customFormat="1" ht="28.5" customHeight="1">
      <c r="A19" s="675"/>
      <c r="B19" s="13">
        <v>100</v>
      </c>
      <c r="C19" s="17" t="s">
        <v>17</v>
      </c>
      <c r="D19" s="549" t="s">
        <v>481</v>
      </c>
    </row>
    <row r="20" spans="1:4" ht="28.5" customHeight="1">
      <c r="A20" s="675"/>
      <c r="B20" s="13">
        <v>100</v>
      </c>
      <c r="C20" s="17" t="s">
        <v>19</v>
      </c>
      <c r="D20" s="549" t="s">
        <v>20</v>
      </c>
    </row>
    <row r="21" spans="1:4" ht="60.75" customHeight="1">
      <c r="A21" s="675"/>
      <c r="B21" s="13">
        <v>100</v>
      </c>
      <c r="C21" s="17" t="s">
        <v>21</v>
      </c>
      <c r="D21" s="549" t="s">
        <v>22</v>
      </c>
    </row>
    <row r="22" spans="1:4" ht="14.25" customHeight="1">
      <c r="A22" s="675"/>
      <c r="B22" s="13">
        <v>100</v>
      </c>
      <c r="C22" s="17" t="s">
        <v>23</v>
      </c>
      <c r="D22" s="549" t="s">
        <v>24</v>
      </c>
    </row>
    <row r="23" spans="1:4" ht="14.25">
      <c r="A23" s="64">
        <v>4</v>
      </c>
      <c r="B23" s="924" t="s">
        <v>306</v>
      </c>
      <c r="C23" s="924"/>
      <c r="D23" s="924"/>
    </row>
    <row r="24" spans="1:4" ht="120">
      <c r="A24" s="65"/>
      <c r="B24" s="679" t="s">
        <v>307</v>
      </c>
      <c r="C24" s="680" t="s">
        <v>933</v>
      </c>
      <c r="D24" s="681" t="s">
        <v>934</v>
      </c>
    </row>
    <row r="25" spans="1:4" ht="14.25">
      <c r="A25" s="682">
        <v>5</v>
      </c>
      <c r="B25" s="932" t="s">
        <v>121</v>
      </c>
      <c r="C25" s="933"/>
      <c r="D25" s="934"/>
    </row>
    <row r="26" spans="1:4" ht="120">
      <c r="A26" s="683"/>
      <c r="B26" s="16" t="s">
        <v>120</v>
      </c>
      <c r="C26" s="684" t="s">
        <v>933</v>
      </c>
      <c r="D26" s="681" t="s">
        <v>934</v>
      </c>
    </row>
    <row r="27" spans="1:4" s="18" customFormat="1" ht="20.25" customHeight="1">
      <c r="A27" s="19">
        <v>6</v>
      </c>
      <c r="B27" s="923" t="s">
        <v>308</v>
      </c>
      <c r="C27" s="924"/>
      <c r="D27" s="925"/>
    </row>
    <row r="28" spans="1:4" ht="61.5" customHeight="1">
      <c r="A28" s="695"/>
      <c r="B28" s="13">
        <v>182</v>
      </c>
      <c r="C28" s="17" t="s">
        <v>309</v>
      </c>
      <c r="D28" s="20" t="s">
        <v>310</v>
      </c>
    </row>
    <row r="29" spans="1:4" ht="105">
      <c r="A29" s="696"/>
      <c r="B29" s="13">
        <v>182</v>
      </c>
      <c r="C29" s="17" t="s">
        <v>311</v>
      </c>
      <c r="D29" s="20" t="s">
        <v>482</v>
      </c>
    </row>
    <row r="30" spans="1:4" ht="45">
      <c r="A30" s="696"/>
      <c r="B30" s="13">
        <v>182</v>
      </c>
      <c r="C30" s="17" t="s">
        <v>313</v>
      </c>
      <c r="D30" s="20" t="s">
        <v>483</v>
      </c>
    </row>
    <row r="31" spans="1:4" ht="90">
      <c r="A31" s="696"/>
      <c r="B31" s="13">
        <v>182</v>
      </c>
      <c r="C31" s="17" t="s">
        <v>15</v>
      </c>
      <c r="D31" s="20" t="s">
        <v>484</v>
      </c>
    </row>
    <row r="32" spans="1:4" ht="30">
      <c r="A32" s="696"/>
      <c r="B32" s="13">
        <v>182</v>
      </c>
      <c r="C32" s="17" t="s">
        <v>565</v>
      </c>
      <c r="D32" s="20" t="s">
        <v>564</v>
      </c>
    </row>
    <row r="33" spans="1:4" ht="60">
      <c r="A33" s="696"/>
      <c r="B33" s="13">
        <v>182</v>
      </c>
      <c r="C33" s="17" t="s">
        <v>566</v>
      </c>
      <c r="D33" s="20" t="s">
        <v>567</v>
      </c>
    </row>
    <row r="34" spans="1:4" ht="45">
      <c r="A34" s="696"/>
      <c r="B34" s="13">
        <v>182</v>
      </c>
      <c r="C34" s="17" t="s">
        <v>569</v>
      </c>
      <c r="D34" s="20" t="s">
        <v>568</v>
      </c>
    </row>
    <row r="35" spans="1:4" ht="15" customHeight="1">
      <c r="A35" s="696"/>
      <c r="B35" s="13">
        <v>182</v>
      </c>
      <c r="C35" s="17" t="s">
        <v>25</v>
      </c>
      <c r="D35" s="15" t="s">
        <v>26</v>
      </c>
    </row>
    <row r="36" spans="1:4" ht="45">
      <c r="A36" s="696"/>
      <c r="B36" s="13">
        <v>182</v>
      </c>
      <c r="C36" s="17" t="s">
        <v>27</v>
      </c>
      <c r="D36" s="14" t="s">
        <v>28</v>
      </c>
    </row>
    <row r="37" spans="1:4" s="12" customFormat="1" ht="14.25" customHeight="1">
      <c r="A37" s="696"/>
      <c r="B37" s="13">
        <v>182</v>
      </c>
      <c r="C37" s="17" t="s">
        <v>29</v>
      </c>
      <c r="D37" s="15" t="s">
        <v>30</v>
      </c>
    </row>
    <row r="38" spans="1:4" ht="30">
      <c r="A38" s="696"/>
      <c r="B38" s="13">
        <v>182</v>
      </c>
      <c r="C38" s="17" t="s">
        <v>31</v>
      </c>
      <c r="D38" s="14" t="s">
        <v>388</v>
      </c>
    </row>
    <row r="39" spans="1:4" ht="36.75" customHeight="1">
      <c r="A39" s="696"/>
      <c r="B39" s="13">
        <v>182</v>
      </c>
      <c r="C39" s="17" t="s">
        <v>122</v>
      </c>
      <c r="D39" s="14" t="s">
        <v>55</v>
      </c>
    </row>
    <row r="40" spans="1:4" ht="45">
      <c r="A40" s="696"/>
      <c r="B40" s="13">
        <v>182</v>
      </c>
      <c r="C40" s="13" t="s">
        <v>32</v>
      </c>
      <c r="D40" s="14" t="s">
        <v>33</v>
      </c>
    </row>
    <row r="41" spans="1:4" ht="30">
      <c r="A41" s="696"/>
      <c r="B41" s="13">
        <v>182</v>
      </c>
      <c r="C41" s="13" t="s">
        <v>34</v>
      </c>
      <c r="D41" s="15" t="s">
        <v>35</v>
      </c>
    </row>
    <row r="42" spans="1:4" ht="75">
      <c r="A42" s="696"/>
      <c r="B42" s="685">
        <v>182</v>
      </c>
      <c r="C42" s="680" t="s">
        <v>935</v>
      </c>
      <c r="D42" s="686" t="s">
        <v>936</v>
      </c>
    </row>
    <row r="43" spans="1:4" ht="14.25" customHeight="1">
      <c r="A43" s="696">
        <v>7</v>
      </c>
      <c r="B43" s="936" t="s">
        <v>36</v>
      </c>
      <c r="C43" s="936"/>
      <c r="D43" s="937"/>
    </row>
    <row r="44" spans="1:4" ht="120">
      <c r="A44" s="697"/>
      <c r="B44" s="687">
        <v>188</v>
      </c>
      <c r="C44" s="680" t="s">
        <v>933</v>
      </c>
      <c r="D44" s="688" t="s">
        <v>934</v>
      </c>
    </row>
    <row r="45" spans="1:4" ht="15">
      <c r="A45" s="670">
        <v>8</v>
      </c>
      <c r="B45" s="936" t="s">
        <v>116</v>
      </c>
      <c r="C45" s="936"/>
      <c r="D45" s="937"/>
    </row>
    <row r="46" spans="1:4" ht="120">
      <c r="A46" s="670"/>
      <c r="B46" s="685">
        <v>321</v>
      </c>
      <c r="C46" s="680" t="s">
        <v>933</v>
      </c>
      <c r="D46" s="677" t="s">
        <v>934</v>
      </c>
    </row>
    <row r="47" spans="1:4" ht="14.25">
      <c r="A47" s="671">
        <v>9</v>
      </c>
      <c r="B47" s="938" t="s">
        <v>103</v>
      </c>
      <c r="C47" s="938"/>
      <c r="D47" s="938"/>
    </row>
    <row r="48" spans="1:4" ht="31.5" customHeight="1">
      <c r="A48" s="939"/>
      <c r="B48" s="689">
        <v>0</v>
      </c>
      <c r="C48" s="403" t="s">
        <v>937</v>
      </c>
      <c r="D48" s="702" t="s">
        <v>960</v>
      </c>
    </row>
    <row r="49" spans="1:5" ht="60">
      <c r="A49" s="935"/>
      <c r="B49" s="689">
        <v>0</v>
      </c>
      <c r="C49" s="698" t="s">
        <v>938</v>
      </c>
      <c r="D49" s="703" t="s">
        <v>939</v>
      </c>
    </row>
    <row r="50" spans="1:5" ht="57.75" customHeight="1">
      <c r="A50" s="935"/>
      <c r="B50" s="689">
        <v>0</v>
      </c>
      <c r="C50" s="699" t="s">
        <v>940</v>
      </c>
      <c r="D50" s="704" t="s">
        <v>941</v>
      </c>
    </row>
    <row r="51" spans="1:5" ht="86.25" customHeight="1">
      <c r="A51" s="690"/>
      <c r="B51" s="689">
        <v>0</v>
      </c>
      <c r="C51" s="403" t="s">
        <v>942</v>
      </c>
      <c r="D51" s="702" t="s">
        <v>943</v>
      </c>
    </row>
    <row r="52" spans="1:5" ht="84" customHeight="1">
      <c r="A52" s="935"/>
      <c r="B52" s="689">
        <v>0</v>
      </c>
      <c r="C52" s="698" t="s">
        <v>944</v>
      </c>
      <c r="D52" s="702" t="s">
        <v>961</v>
      </c>
    </row>
    <row r="53" spans="1:5" ht="95.25" customHeight="1">
      <c r="A53" s="935"/>
      <c r="B53" s="689">
        <v>0</v>
      </c>
      <c r="C53" s="698" t="s">
        <v>945</v>
      </c>
      <c r="D53" s="702" t="s">
        <v>962</v>
      </c>
    </row>
    <row r="54" spans="1:5" ht="62.25" customHeight="1">
      <c r="A54" s="690"/>
      <c r="B54" s="689">
        <v>0</v>
      </c>
      <c r="C54" s="403" t="s">
        <v>946</v>
      </c>
      <c r="D54" s="702" t="s">
        <v>963</v>
      </c>
    </row>
    <row r="55" spans="1:5" ht="45.75" customHeight="1">
      <c r="A55" s="935"/>
      <c r="B55" s="689">
        <v>0</v>
      </c>
      <c r="C55" s="403" t="s">
        <v>947</v>
      </c>
      <c r="D55" s="702" t="s">
        <v>948</v>
      </c>
    </row>
    <row r="56" spans="1:5" s="18" customFormat="1" ht="14.25" customHeight="1">
      <c r="A56" s="935"/>
      <c r="B56" s="691">
        <v>0</v>
      </c>
      <c r="C56" s="698" t="s">
        <v>949</v>
      </c>
      <c r="D56" s="702" t="s">
        <v>964</v>
      </c>
      <c r="E56" s="21"/>
    </row>
    <row r="57" spans="1:5" s="18" customFormat="1" ht="14.25" customHeight="1">
      <c r="A57" s="690"/>
      <c r="B57" s="692">
        <v>0</v>
      </c>
      <c r="C57" s="403" t="s">
        <v>950</v>
      </c>
      <c r="D57" s="702" t="s">
        <v>951</v>
      </c>
      <c r="E57" s="21"/>
    </row>
    <row r="58" spans="1:5" s="18" customFormat="1" ht="38.25">
      <c r="A58" s="693"/>
      <c r="B58" s="692">
        <v>0</v>
      </c>
      <c r="C58" s="713" t="s">
        <v>966</v>
      </c>
      <c r="D58" s="714" t="s">
        <v>965</v>
      </c>
      <c r="E58" s="21"/>
    </row>
    <row r="59" spans="1:5" ht="48">
      <c r="A59" s="690"/>
      <c r="B59" s="692">
        <v>0</v>
      </c>
      <c r="C59" s="706" t="s">
        <v>954</v>
      </c>
      <c r="D59" s="703" t="s">
        <v>955</v>
      </c>
      <c r="E59" s="1"/>
    </row>
    <row r="60" spans="1:5" ht="48">
      <c r="A60" s="694"/>
      <c r="B60" s="692">
        <v>0</v>
      </c>
      <c r="C60" s="403" t="s">
        <v>952</v>
      </c>
      <c r="D60" s="703" t="s">
        <v>953</v>
      </c>
      <c r="E60" s="1"/>
    </row>
    <row r="61" spans="1:5" s="18" customFormat="1" ht="14.25" customHeight="1">
      <c r="A61" s="4"/>
      <c r="B61" s="716" t="s">
        <v>967</v>
      </c>
      <c r="C61" s="403" t="s">
        <v>956</v>
      </c>
      <c r="D61" s="705" t="s">
        <v>957</v>
      </c>
      <c r="E61" s="21"/>
    </row>
    <row r="62" spans="1:5">
      <c r="E62" s="1"/>
    </row>
    <row r="63" spans="1:5" ht="14.25" customHeight="1">
      <c r="E63" s="1"/>
    </row>
    <row r="64" spans="1:5" s="18" customFormat="1">
      <c r="A64" s="4"/>
      <c r="B64" s="11"/>
      <c r="C64" s="4"/>
      <c r="D64" s="1"/>
      <c r="E64" s="21"/>
    </row>
    <row r="65" spans="1:5">
      <c r="E65" s="1"/>
    </row>
    <row r="66" spans="1:5" ht="14.25" customHeight="1">
      <c r="E66" s="1"/>
    </row>
    <row r="67" spans="1:5" s="18" customFormat="1">
      <c r="A67" s="4"/>
      <c r="B67" s="11"/>
      <c r="C67" s="4"/>
      <c r="D67" s="1"/>
      <c r="E67" s="21"/>
    </row>
    <row r="68" spans="1:5">
      <c r="E68" s="1"/>
    </row>
    <row r="69" spans="1:5" s="18" customFormat="1" ht="14.25" customHeight="1">
      <c r="A69" s="4"/>
      <c r="B69" s="11"/>
      <c r="C69" s="4"/>
      <c r="D69" s="1"/>
      <c r="E69" s="21"/>
    </row>
    <row r="70" spans="1:5">
      <c r="E70" s="1"/>
    </row>
    <row r="71" spans="1:5" ht="14.25" customHeight="1">
      <c r="E71" s="1"/>
    </row>
    <row r="72" spans="1:5">
      <c r="E72" s="1"/>
    </row>
    <row r="73" spans="1:5" s="18" customFormat="1" ht="14.25" customHeight="1">
      <c r="A73" s="21"/>
    </row>
    <row r="74" spans="1:5">
      <c r="A74" s="1"/>
      <c r="B74" s="4"/>
      <c r="D74" s="4"/>
    </row>
    <row r="75" spans="1:5" s="18" customFormat="1" ht="34.5" customHeight="1">
      <c r="A75" s="21"/>
    </row>
    <row r="76" spans="1:5" ht="33" customHeight="1">
      <c r="A76" s="1"/>
      <c r="B76" s="4"/>
      <c r="D76" s="4"/>
    </row>
    <row r="77" spans="1:5" ht="14.25" customHeight="1">
      <c r="A77" s="1"/>
      <c r="B77" s="4"/>
      <c r="D77" s="4"/>
    </row>
    <row r="78" spans="1:5" s="18" customFormat="1">
      <c r="A78" s="21"/>
    </row>
    <row r="79" spans="1:5">
      <c r="A79" s="1"/>
      <c r="B79" s="4"/>
      <c r="D79" s="4"/>
    </row>
    <row r="80" spans="1:5" ht="32.25" customHeight="1">
      <c r="A80" s="1"/>
      <c r="B80" s="4"/>
      <c r="D80" s="4"/>
    </row>
    <row r="81" spans="1:4" ht="32.25" customHeight="1">
      <c r="A81" s="1"/>
      <c r="B81" s="4"/>
      <c r="D81" s="4"/>
    </row>
    <row r="82" spans="1:4">
      <c r="A82" s="1"/>
      <c r="B82" s="4"/>
      <c r="D82" s="4"/>
    </row>
    <row r="83" spans="1:4">
      <c r="A83" s="1"/>
      <c r="B83" s="4"/>
      <c r="D83" s="4"/>
    </row>
    <row r="84" spans="1:4">
      <c r="A84" s="1"/>
      <c r="B84" s="4"/>
      <c r="D84" s="4"/>
    </row>
    <row r="85" spans="1:4">
      <c r="A85" s="1"/>
      <c r="B85" s="4"/>
      <c r="D85" s="4"/>
    </row>
    <row r="86" spans="1:4">
      <c r="A86" s="27"/>
      <c r="B86" s="4"/>
      <c r="D86" s="4"/>
    </row>
    <row r="87" spans="1:4">
      <c r="A87" s="1"/>
      <c r="B87" s="4"/>
      <c r="D87" s="4"/>
    </row>
    <row r="88" spans="1:4">
      <c r="B88" s="4"/>
      <c r="D88" s="4"/>
    </row>
    <row r="89" spans="1:4">
      <c r="B89" s="4"/>
      <c r="D89" s="4"/>
    </row>
  </sheetData>
  <mergeCells count="15">
    <mergeCell ref="A52:A53"/>
    <mergeCell ref="A55:A56"/>
    <mergeCell ref="B43:D43"/>
    <mergeCell ref="B45:D45"/>
    <mergeCell ref="B47:D47"/>
    <mergeCell ref="A48:A50"/>
    <mergeCell ref="B16:D16"/>
    <mergeCell ref="B27:D27"/>
    <mergeCell ref="A9:D9"/>
    <mergeCell ref="B11:C11"/>
    <mergeCell ref="D11:D12"/>
    <mergeCell ref="B13:D13"/>
    <mergeCell ref="B18:D18"/>
    <mergeCell ref="B23:D23"/>
    <mergeCell ref="B25:D25"/>
  </mergeCells>
  <phoneticPr fontId="16" type="noConversion"/>
  <hyperlinks>
    <hyperlink ref="D52" r:id="rId1" display="consultantplus://offline/main?base=LAW;n=117058;fld=134;dst=1304"/>
  </hyperlinks>
  <pageMargins left="0.70866141732283472" right="0.70866141732283472" top="0.74803149606299213" bottom="0.74803149606299213" header="0.31496062992125984" footer="0.31496062992125984"/>
  <pageSetup paperSize="9" scale="85" orientation="portrait" r:id="rId2"/>
  <rowBreaks count="1" manualBreakCount="1">
    <brk id="69" max="3" man="1"/>
  </rowBreaks>
</worksheet>
</file>

<file path=xl/worksheets/sheet10.xml><?xml version="1.0" encoding="utf-8"?>
<worksheet xmlns="http://schemas.openxmlformats.org/spreadsheetml/2006/main" xmlns:r="http://schemas.openxmlformats.org/officeDocument/2006/relationships">
  <sheetPr enableFormatConditionsCalculation="0">
    <tabColor rgb="FFFF0000"/>
  </sheetPr>
  <dimension ref="A1:I606"/>
  <sheetViews>
    <sheetView tabSelected="1" view="pageBreakPreview" zoomScale="70" zoomScaleSheetLayoutView="70" workbookViewId="0">
      <pane xSplit="1" ySplit="12" topLeftCell="B326" activePane="bottomRight" state="frozen"/>
      <selection activeCell="G149" sqref="G149"/>
      <selection pane="topRight" activeCell="G149" sqref="G149"/>
      <selection pane="bottomLeft" activeCell="G149" sqref="G149"/>
      <selection pane="bottomRight" activeCell="J6" sqref="J6"/>
    </sheetView>
  </sheetViews>
  <sheetFormatPr defaultRowHeight="15.75"/>
  <cols>
    <col min="1" max="1" width="68.42578125" style="124" customWidth="1"/>
    <col min="2" max="2" width="10.7109375" style="70" customWidth="1"/>
    <col min="3" max="3" width="9.28515625" style="70" customWidth="1"/>
    <col min="4" max="4" width="9" style="70" customWidth="1"/>
    <col min="5" max="5" width="17.85546875" style="118" customWidth="1"/>
    <col min="6" max="6" width="8.7109375" style="84" customWidth="1"/>
    <col min="7" max="7" width="23.28515625" style="85" customWidth="1"/>
    <col min="8" max="8" width="18.7109375" style="385" customWidth="1"/>
    <col min="9" max="9" width="23.5703125" style="70" customWidth="1"/>
    <col min="10" max="10" width="18.140625" style="70" customWidth="1"/>
    <col min="11" max="16384" width="9.140625" style="70"/>
  </cols>
  <sheetData>
    <row r="1" spans="1:8">
      <c r="D1" s="988" t="s">
        <v>480</v>
      </c>
      <c r="E1" s="988"/>
      <c r="F1" s="988"/>
      <c r="G1" s="988"/>
      <c r="H1" s="375"/>
    </row>
    <row r="2" spans="1:8">
      <c r="B2" s="988" t="s">
        <v>199</v>
      </c>
      <c r="C2" s="988"/>
      <c r="D2" s="988"/>
      <c r="E2" s="988"/>
      <c r="F2" s="988"/>
      <c r="G2" s="988"/>
      <c r="H2" s="375"/>
    </row>
    <row r="3" spans="1:8">
      <c r="C3" s="988" t="s">
        <v>190</v>
      </c>
      <c r="D3" s="988"/>
      <c r="E3" s="988"/>
      <c r="F3" s="988"/>
      <c r="G3" s="988"/>
      <c r="H3" s="375"/>
    </row>
    <row r="4" spans="1:8">
      <c r="C4" s="988" t="s">
        <v>148</v>
      </c>
      <c r="D4" s="988"/>
      <c r="E4" s="988"/>
      <c r="F4" s="988"/>
      <c r="G4" s="988"/>
      <c r="H4" s="375"/>
    </row>
    <row r="5" spans="1:8">
      <c r="C5" s="988" t="s">
        <v>191</v>
      </c>
      <c r="D5" s="988"/>
      <c r="E5" s="988"/>
      <c r="F5" s="988"/>
      <c r="G5" s="988"/>
      <c r="H5" s="375"/>
    </row>
    <row r="6" spans="1:8">
      <c r="C6" s="988" t="s">
        <v>1165</v>
      </c>
      <c r="D6" s="988"/>
      <c r="E6" s="988"/>
      <c r="F6" s="988"/>
      <c r="G6" s="988"/>
      <c r="H6" s="375"/>
    </row>
    <row r="7" spans="1:8" ht="15.75" customHeight="1">
      <c r="C7" s="993" t="s">
        <v>1166</v>
      </c>
      <c r="D7" s="993"/>
      <c r="E7" s="993"/>
      <c r="F7" s="993"/>
      <c r="G7" s="993"/>
      <c r="H7" s="907"/>
    </row>
    <row r="9" spans="1:8">
      <c r="A9" s="989" t="s">
        <v>1170</v>
      </c>
      <c r="B9" s="989"/>
      <c r="C9" s="989"/>
      <c r="D9" s="989"/>
      <c r="E9" s="989"/>
      <c r="F9" s="989"/>
      <c r="G9" s="990"/>
      <c r="H9" s="386"/>
    </row>
    <row r="10" spans="1:8">
      <c r="A10" s="991"/>
      <c r="B10" s="991"/>
      <c r="C10" s="991"/>
      <c r="D10" s="991"/>
      <c r="E10" s="991"/>
      <c r="F10" s="991"/>
      <c r="G10" s="992"/>
      <c r="H10" s="386"/>
    </row>
    <row r="11" spans="1:8">
      <c r="B11" s="86"/>
      <c r="C11" s="86"/>
      <c r="D11" s="86"/>
      <c r="E11" s="119"/>
      <c r="F11" s="87"/>
      <c r="G11" s="88" t="s">
        <v>150</v>
      </c>
    </row>
    <row r="12" spans="1:8" s="90" customFormat="1" ht="68.25" customHeight="1">
      <c r="A12" s="93" t="s">
        <v>204</v>
      </c>
      <c r="B12" s="93" t="s">
        <v>297</v>
      </c>
      <c r="C12" s="93" t="s">
        <v>205</v>
      </c>
      <c r="D12" s="93" t="s">
        <v>206</v>
      </c>
      <c r="E12" s="116" t="s">
        <v>207</v>
      </c>
      <c r="F12" s="93" t="s">
        <v>208</v>
      </c>
      <c r="G12" s="89" t="s">
        <v>209</v>
      </c>
      <c r="H12" s="376" t="s">
        <v>38</v>
      </c>
    </row>
    <row r="13" spans="1:8" s="90" customFormat="1">
      <c r="A13" s="123" t="s">
        <v>192</v>
      </c>
      <c r="B13" s="99">
        <v>930</v>
      </c>
      <c r="C13" s="100"/>
      <c r="D13" s="100"/>
      <c r="E13" s="100"/>
      <c r="F13" s="100"/>
      <c r="G13" s="101">
        <f t="shared" ref="G13:H13" si="0">G14</f>
        <v>3435.2211299999999</v>
      </c>
      <c r="H13" s="101">
        <f t="shared" si="0"/>
        <v>0</v>
      </c>
    </row>
    <row r="14" spans="1:8" s="90" customFormat="1">
      <c r="A14" s="80" t="s">
        <v>224</v>
      </c>
      <c r="B14" s="102">
        <v>930</v>
      </c>
      <c r="C14" s="103" t="s">
        <v>210</v>
      </c>
      <c r="D14" s="103"/>
      <c r="E14" s="103"/>
      <c r="F14" s="103"/>
      <c r="G14" s="104">
        <f>G15+G27</f>
        <v>3435.2211299999999</v>
      </c>
      <c r="H14" s="104">
        <f>H15+H27</f>
        <v>0</v>
      </c>
    </row>
    <row r="15" spans="1:8" s="90" customFormat="1" ht="54.75" customHeight="1">
      <c r="A15" s="79" t="s">
        <v>343</v>
      </c>
      <c r="B15" s="105">
        <v>930</v>
      </c>
      <c r="C15" s="106" t="s">
        <v>210</v>
      </c>
      <c r="D15" s="106" t="s">
        <v>213</v>
      </c>
      <c r="E15" s="106"/>
      <c r="F15" s="106"/>
      <c r="G15" s="107">
        <f>G18+G22+G25</f>
        <v>1937.7358000000002</v>
      </c>
      <c r="H15" s="107">
        <f>H18+H22+H25</f>
        <v>0</v>
      </c>
    </row>
    <row r="16" spans="1:8" s="90" customFormat="1" ht="54.75" customHeight="1">
      <c r="A16" s="625" t="s">
        <v>1236</v>
      </c>
      <c r="B16" s="859">
        <v>930</v>
      </c>
      <c r="C16" s="634" t="s">
        <v>210</v>
      </c>
      <c r="D16" s="634" t="s">
        <v>213</v>
      </c>
      <c r="E16" s="634" t="s">
        <v>1249</v>
      </c>
      <c r="F16" s="634"/>
      <c r="G16" s="460">
        <f t="shared" ref="G16:H16" si="1">G17</f>
        <v>1937.7358000000002</v>
      </c>
      <c r="H16" s="460">
        <f t="shared" si="1"/>
        <v>0</v>
      </c>
    </row>
    <row r="17" spans="1:8" s="90" customFormat="1" ht="54.75" customHeight="1">
      <c r="A17" s="829" t="s">
        <v>1217</v>
      </c>
      <c r="B17" s="102">
        <v>930</v>
      </c>
      <c r="C17" s="103" t="s">
        <v>210</v>
      </c>
      <c r="D17" s="103" t="s">
        <v>213</v>
      </c>
      <c r="E17" s="103" t="s">
        <v>1257</v>
      </c>
      <c r="F17" s="103"/>
      <c r="G17" s="104">
        <f>G18+G22+G25</f>
        <v>1937.7358000000002</v>
      </c>
      <c r="H17" s="104">
        <f>+H18+H32</f>
        <v>0</v>
      </c>
    </row>
    <row r="18" spans="1:8" s="90" customFormat="1">
      <c r="A18" s="74" t="s">
        <v>1207</v>
      </c>
      <c r="B18" s="97">
        <v>930</v>
      </c>
      <c r="C18" s="95" t="s">
        <v>210</v>
      </c>
      <c r="D18" s="95" t="s">
        <v>213</v>
      </c>
      <c r="E18" s="95" t="s">
        <v>1258</v>
      </c>
      <c r="F18" s="95"/>
      <c r="G18" s="201">
        <f>G19+G20+G21</f>
        <v>611.04330000000004</v>
      </c>
      <c r="H18" s="201">
        <f>H19+H20+H21</f>
        <v>0</v>
      </c>
    </row>
    <row r="19" spans="1:8" s="90" customFormat="1">
      <c r="A19" s="76" t="s">
        <v>415</v>
      </c>
      <c r="B19" s="98">
        <v>930</v>
      </c>
      <c r="C19" s="96" t="s">
        <v>210</v>
      </c>
      <c r="D19" s="96" t="s">
        <v>213</v>
      </c>
      <c r="E19" s="95" t="s">
        <v>1258</v>
      </c>
      <c r="F19" s="96" t="s">
        <v>400</v>
      </c>
      <c r="G19" s="199">
        <v>185.13300000000001</v>
      </c>
      <c r="H19" s="109">
        <v>0</v>
      </c>
    </row>
    <row r="20" spans="1:8" s="90" customFormat="1" ht="47.25">
      <c r="A20" s="195" t="s">
        <v>416</v>
      </c>
      <c r="B20" s="98">
        <v>930</v>
      </c>
      <c r="C20" s="96" t="s">
        <v>210</v>
      </c>
      <c r="D20" s="96" t="s">
        <v>213</v>
      </c>
      <c r="E20" s="95" t="s">
        <v>1258</v>
      </c>
      <c r="F20" s="96" t="s">
        <v>417</v>
      </c>
      <c r="G20" s="199">
        <v>55.910299999999999</v>
      </c>
      <c r="H20" s="387">
        <v>0</v>
      </c>
    </row>
    <row r="21" spans="1:8" s="90" customFormat="1" ht="31.5">
      <c r="A21" s="152" t="s">
        <v>267</v>
      </c>
      <c r="B21" s="98">
        <v>930</v>
      </c>
      <c r="C21" s="96" t="s">
        <v>210</v>
      </c>
      <c r="D21" s="96" t="s">
        <v>213</v>
      </c>
      <c r="E21" s="95" t="s">
        <v>1258</v>
      </c>
      <c r="F21" s="96" t="s">
        <v>401</v>
      </c>
      <c r="G21" s="199">
        <f>120+200+50</f>
        <v>370</v>
      </c>
      <c r="H21" s="387">
        <v>0</v>
      </c>
    </row>
    <row r="22" spans="1:8" s="90" customFormat="1" ht="35.25" customHeight="1">
      <c r="A22" s="77" t="s">
        <v>374</v>
      </c>
      <c r="B22" s="98">
        <v>930</v>
      </c>
      <c r="C22" s="95" t="s">
        <v>210</v>
      </c>
      <c r="D22" s="95" t="s">
        <v>213</v>
      </c>
      <c r="E22" s="95" t="s">
        <v>1259</v>
      </c>
      <c r="F22" s="95"/>
      <c r="G22" s="201">
        <f>G23+G24</f>
        <v>946.69250000000011</v>
      </c>
      <c r="H22" s="201">
        <f>H23+H24</f>
        <v>0</v>
      </c>
    </row>
    <row r="23" spans="1:8" s="90" customFormat="1">
      <c r="A23" s="76" t="s">
        <v>415</v>
      </c>
      <c r="B23" s="98">
        <v>930</v>
      </c>
      <c r="C23" s="96" t="s">
        <v>210</v>
      </c>
      <c r="D23" s="96" t="s">
        <v>213</v>
      </c>
      <c r="E23" s="95" t="s">
        <v>1259</v>
      </c>
      <c r="F23" s="96" t="s">
        <v>400</v>
      </c>
      <c r="G23" s="199">
        <v>727.10625000000005</v>
      </c>
      <c r="H23" s="109">
        <v>0</v>
      </c>
    </row>
    <row r="24" spans="1:8" s="90" customFormat="1" ht="47.25">
      <c r="A24" s="195" t="s">
        <v>416</v>
      </c>
      <c r="B24" s="98">
        <v>930</v>
      </c>
      <c r="C24" s="96" t="s">
        <v>210</v>
      </c>
      <c r="D24" s="96" t="s">
        <v>213</v>
      </c>
      <c r="E24" s="95" t="s">
        <v>1259</v>
      </c>
      <c r="F24" s="96" t="s">
        <v>417</v>
      </c>
      <c r="G24" s="199">
        <v>219.58625000000001</v>
      </c>
      <c r="H24" s="109">
        <v>0</v>
      </c>
    </row>
    <row r="25" spans="1:8" s="92" customFormat="1" ht="31.5">
      <c r="A25" s="77" t="s">
        <v>381</v>
      </c>
      <c r="B25" s="97">
        <v>930</v>
      </c>
      <c r="C25" s="95" t="s">
        <v>210</v>
      </c>
      <c r="D25" s="95" t="s">
        <v>213</v>
      </c>
      <c r="E25" s="96" t="s">
        <v>1260</v>
      </c>
      <c r="F25" s="95"/>
      <c r="G25" s="201">
        <f>G26</f>
        <v>380</v>
      </c>
      <c r="H25" s="201">
        <f>H26</f>
        <v>0</v>
      </c>
    </row>
    <row r="26" spans="1:8" s="90" customFormat="1" ht="51" customHeight="1">
      <c r="A26" s="169" t="s">
        <v>135</v>
      </c>
      <c r="B26" s="153">
        <v>930</v>
      </c>
      <c r="C26" s="149" t="s">
        <v>210</v>
      </c>
      <c r="D26" s="149" t="s">
        <v>213</v>
      </c>
      <c r="E26" s="96" t="s">
        <v>1260</v>
      </c>
      <c r="F26" s="149" t="s">
        <v>136</v>
      </c>
      <c r="G26" s="148">
        <v>380</v>
      </c>
      <c r="H26" s="148">
        <v>0</v>
      </c>
    </row>
    <row r="27" spans="1:8" s="90" customFormat="1" ht="47.25">
      <c r="A27" s="342" t="s">
        <v>154</v>
      </c>
      <c r="B27" s="343">
        <v>930</v>
      </c>
      <c r="C27" s="344" t="s">
        <v>210</v>
      </c>
      <c r="D27" s="344" t="s">
        <v>216</v>
      </c>
      <c r="E27" s="344"/>
      <c r="F27" s="344"/>
      <c r="G27" s="222">
        <f>G30++G33+G36</f>
        <v>1497.48533</v>
      </c>
      <c r="H27" s="222">
        <f>H30++H33+H36</f>
        <v>0</v>
      </c>
    </row>
    <row r="28" spans="1:8" s="90" customFormat="1" ht="47.25">
      <c r="A28" s="625" t="s">
        <v>1236</v>
      </c>
      <c r="B28" s="859">
        <v>930</v>
      </c>
      <c r="C28" s="634" t="s">
        <v>210</v>
      </c>
      <c r="D28" s="634" t="s">
        <v>216</v>
      </c>
      <c r="E28" s="634" t="s">
        <v>1249</v>
      </c>
      <c r="F28" s="634"/>
      <c r="G28" s="460">
        <f>G29</f>
        <v>1497.48533</v>
      </c>
      <c r="H28" s="460">
        <f>H29</f>
        <v>0</v>
      </c>
    </row>
    <row r="29" spans="1:8" s="90" customFormat="1" ht="31.5">
      <c r="A29" s="829" t="s">
        <v>1217</v>
      </c>
      <c r="B29" s="102">
        <v>930</v>
      </c>
      <c r="C29" s="103" t="s">
        <v>210</v>
      </c>
      <c r="D29" s="103" t="s">
        <v>216</v>
      </c>
      <c r="E29" s="103" t="s">
        <v>1257</v>
      </c>
      <c r="F29" s="103"/>
      <c r="G29" s="104">
        <f>G30+G33+G36</f>
        <v>1497.48533</v>
      </c>
      <c r="H29" s="104">
        <f>H30+H33+H36</f>
        <v>0</v>
      </c>
    </row>
    <row r="30" spans="1:8" s="90" customFormat="1" ht="31.5">
      <c r="A30" s="221" t="s">
        <v>379</v>
      </c>
      <c r="B30" s="341">
        <v>930</v>
      </c>
      <c r="C30" s="200" t="s">
        <v>210</v>
      </c>
      <c r="D30" s="200" t="s">
        <v>216</v>
      </c>
      <c r="E30" s="200" t="s">
        <v>1263</v>
      </c>
      <c r="F30" s="200"/>
      <c r="G30" s="201">
        <f>G31+G32</f>
        <v>449.2</v>
      </c>
      <c r="H30" s="201">
        <f>H31+H32</f>
        <v>0</v>
      </c>
    </row>
    <row r="31" spans="1:8" s="90" customFormat="1">
      <c r="A31" s="76" t="s">
        <v>415</v>
      </c>
      <c r="B31" s="98">
        <v>930</v>
      </c>
      <c r="C31" s="96" t="s">
        <v>210</v>
      </c>
      <c r="D31" s="96" t="s">
        <v>216</v>
      </c>
      <c r="E31" s="200" t="s">
        <v>1263</v>
      </c>
      <c r="F31" s="96" t="s">
        <v>400</v>
      </c>
      <c r="G31" s="148">
        <v>345.00767999999999</v>
      </c>
      <c r="H31" s="109">
        <v>0</v>
      </c>
    </row>
    <row r="32" spans="1:8" s="90" customFormat="1" ht="47.25">
      <c r="A32" s="195" t="s">
        <v>416</v>
      </c>
      <c r="B32" s="98">
        <v>930</v>
      </c>
      <c r="C32" s="96" t="s">
        <v>210</v>
      </c>
      <c r="D32" s="96" t="s">
        <v>216</v>
      </c>
      <c r="E32" s="200" t="s">
        <v>1263</v>
      </c>
      <c r="F32" s="96" t="s">
        <v>417</v>
      </c>
      <c r="G32" s="148">
        <v>104.19232</v>
      </c>
      <c r="H32" s="109">
        <v>0</v>
      </c>
    </row>
    <row r="33" spans="1:8" s="90" customFormat="1" ht="47.25">
      <c r="A33" s="221" t="s">
        <v>375</v>
      </c>
      <c r="B33" s="341">
        <v>930</v>
      </c>
      <c r="C33" s="200" t="s">
        <v>210</v>
      </c>
      <c r="D33" s="200" t="s">
        <v>216</v>
      </c>
      <c r="E33" s="200" t="s">
        <v>1261</v>
      </c>
      <c r="F33" s="200"/>
      <c r="G33" s="201">
        <f>G34+G35</f>
        <v>744.18283000000008</v>
      </c>
      <c r="H33" s="201">
        <f>H34+H35</f>
        <v>0</v>
      </c>
    </row>
    <row r="34" spans="1:8" s="90" customFormat="1">
      <c r="A34" s="76" t="s">
        <v>415</v>
      </c>
      <c r="B34" s="98">
        <v>930</v>
      </c>
      <c r="C34" s="96" t="s">
        <v>210</v>
      </c>
      <c r="D34" s="96" t="s">
        <v>216</v>
      </c>
      <c r="E34" s="200" t="s">
        <v>1261</v>
      </c>
      <c r="F34" s="96" t="s">
        <v>400</v>
      </c>
      <c r="G34" s="109">
        <v>571.56883000000005</v>
      </c>
      <c r="H34" s="109">
        <v>0</v>
      </c>
    </row>
    <row r="35" spans="1:8" s="90" customFormat="1" ht="47.25">
      <c r="A35" s="195" t="s">
        <v>416</v>
      </c>
      <c r="B35" s="98">
        <v>930</v>
      </c>
      <c r="C35" s="96" t="s">
        <v>210</v>
      </c>
      <c r="D35" s="96" t="s">
        <v>216</v>
      </c>
      <c r="E35" s="200" t="s">
        <v>1261</v>
      </c>
      <c r="F35" s="96" t="s">
        <v>417</v>
      </c>
      <c r="G35" s="109">
        <v>172.614</v>
      </c>
      <c r="H35" s="387">
        <v>0</v>
      </c>
    </row>
    <row r="36" spans="1:8" s="92" customFormat="1" ht="31.5">
      <c r="A36" s="221" t="s">
        <v>238</v>
      </c>
      <c r="B36" s="340">
        <v>930</v>
      </c>
      <c r="C36" s="200" t="s">
        <v>210</v>
      </c>
      <c r="D36" s="200" t="s">
        <v>216</v>
      </c>
      <c r="E36" s="200" t="s">
        <v>1262</v>
      </c>
      <c r="F36" s="200"/>
      <c r="G36" s="201">
        <f>G37+G38</f>
        <v>304.10250000000002</v>
      </c>
      <c r="H36" s="387">
        <v>0</v>
      </c>
    </row>
    <row r="37" spans="1:8" s="90" customFormat="1" ht="26.25" customHeight="1">
      <c r="A37" s="76" t="s">
        <v>415</v>
      </c>
      <c r="B37" s="98">
        <v>930</v>
      </c>
      <c r="C37" s="96" t="s">
        <v>210</v>
      </c>
      <c r="D37" s="96" t="s">
        <v>216</v>
      </c>
      <c r="E37" s="200" t="s">
        <v>1262</v>
      </c>
      <c r="F37" s="96" t="s">
        <v>400</v>
      </c>
      <c r="G37" s="109">
        <v>233.56558000000001</v>
      </c>
      <c r="H37" s="387">
        <v>0</v>
      </c>
    </row>
    <row r="38" spans="1:8" s="90" customFormat="1" ht="31.5">
      <c r="A38" s="76" t="s">
        <v>155</v>
      </c>
      <c r="B38" s="98">
        <v>930</v>
      </c>
      <c r="C38" s="96" t="s">
        <v>210</v>
      </c>
      <c r="D38" s="96" t="s">
        <v>216</v>
      </c>
      <c r="E38" s="200" t="s">
        <v>1262</v>
      </c>
      <c r="F38" s="96" t="s">
        <v>417</v>
      </c>
      <c r="G38" s="109">
        <v>70.536919999999995</v>
      </c>
      <c r="H38" s="387">
        <v>0</v>
      </c>
    </row>
    <row r="39" spans="1:8" s="90" customFormat="1">
      <c r="A39" s="123" t="s">
        <v>193</v>
      </c>
      <c r="B39" s="99">
        <v>931</v>
      </c>
      <c r="C39" s="100"/>
      <c r="D39" s="100"/>
      <c r="E39" s="100"/>
      <c r="F39" s="100"/>
      <c r="G39" s="101">
        <f>G40+G58+G55</f>
        <v>38657.320829999997</v>
      </c>
      <c r="H39" s="101">
        <f>H40+H58</f>
        <v>96.3</v>
      </c>
    </row>
    <row r="40" spans="1:8">
      <c r="A40" s="80" t="s">
        <v>224</v>
      </c>
      <c r="B40" s="102">
        <v>931</v>
      </c>
      <c r="C40" s="103" t="s">
        <v>210</v>
      </c>
      <c r="D40" s="103"/>
      <c r="E40" s="103"/>
      <c r="F40" s="103"/>
      <c r="G40" s="104">
        <f>G41</f>
        <v>9161.0208300000013</v>
      </c>
      <c r="H40" s="104">
        <f>H41</f>
        <v>0</v>
      </c>
    </row>
    <row r="41" spans="1:8" s="91" customFormat="1" ht="47.25">
      <c r="A41" s="79" t="s">
        <v>154</v>
      </c>
      <c r="B41" s="105">
        <v>931</v>
      </c>
      <c r="C41" s="106" t="s">
        <v>210</v>
      </c>
      <c r="D41" s="106" t="s">
        <v>216</v>
      </c>
      <c r="E41" s="106"/>
      <c r="F41" s="106"/>
      <c r="G41" s="107">
        <f>G42+G51</f>
        <v>9161.0208300000013</v>
      </c>
      <c r="H41" s="107">
        <f>H42+H51</f>
        <v>0</v>
      </c>
    </row>
    <row r="42" spans="1:8" s="91" customFormat="1" ht="57.75" customHeight="1">
      <c r="A42" s="625" t="s">
        <v>1236</v>
      </c>
      <c r="B42" s="859">
        <v>931</v>
      </c>
      <c r="C42" s="634" t="s">
        <v>210</v>
      </c>
      <c r="D42" s="634" t="s">
        <v>216</v>
      </c>
      <c r="E42" s="634" t="s">
        <v>1249</v>
      </c>
      <c r="F42" s="183"/>
      <c r="G42" s="185">
        <f>G43</f>
        <v>8145.4268300000003</v>
      </c>
      <c r="H42" s="185">
        <v>0</v>
      </c>
    </row>
    <row r="43" spans="1:8" s="91" customFormat="1" ht="39" customHeight="1">
      <c r="A43" s="829" t="s">
        <v>1248</v>
      </c>
      <c r="B43" s="98">
        <v>931</v>
      </c>
      <c r="C43" s="96" t="s">
        <v>210</v>
      </c>
      <c r="D43" s="96" t="s">
        <v>216</v>
      </c>
      <c r="E43" s="96" t="s">
        <v>1266</v>
      </c>
      <c r="F43" s="106"/>
      <c r="G43" s="107">
        <f>G44</f>
        <v>8145.4268300000003</v>
      </c>
      <c r="H43" s="107">
        <v>0</v>
      </c>
    </row>
    <row r="44" spans="1:8" s="91" customFormat="1" ht="47.25">
      <c r="A44" s="829" t="s">
        <v>1237</v>
      </c>
      <c r="B44" s="98">
        <v>931</v>
      </c>
      <c r="C44" s="96" t="s">
        <v>210</v>
      </c>
      <c r="D44" s="96" t="s">
        <v>216</v>
      </c>
      <c r="E44" s="96" t="s">
        <v>1242</v>
      </c>
      <c r="F44" s="106"/>
      <c r="G44" s="107">
        <f>G45+G48</f>
        <v>8145.4268300000003</v>
      </c>
      <c r="H44" s="107">
        <v>0</v>
      </c>
    </row>
    <row r="45" spans="1:8" s="91" customFormat="1">
      <c r="A45" s="79" t="s">
        <v>1207</v>
      </c>
      <c r="B45" s="98">
        <v>931</v>
      </c>
      <c r="C45" s="96" t="s">
        <v>210</v>
      </c>
      <c r="D45" s="96" t="s">
        <v>216</v>
      </c>
      <c r="E45" s="96" t="s">
        <v>1267</v>
      </c>
      <c r="F45" s="106"/>
      <c r="G45" s="107">
        <f>G46+G47</f>
        <v>3390.82683</v>
      </c>
      <c r="H45" s="107">
        <v>0</v>
      </c>
    </row>
    <row r="46" spans="1:8" s="91" customFormat="1">
      <c r="A46" s="76" t="s">
        <v>415</v>
      </c>
      <c r="B46" s="98">
        <v>931</v>
      </c>
      <c r="C46" s="96" t="s">
        <v>210</v>
      </c>
      <c r="D46" s="96" t="s">
        <v>216</v>
      </c>
      <c r="E46" s="96" t="s">
        <v>1267</v>
      </c>
      <c r="F46" s="106" t="s">
        <v>400</v>
      </c>
      <c r="G46" s="107">
        <v>2604.32168</v>
      </c>
      <c r="H46" s="107">
        <v>0</v>
      </c>
    </row>
    <row r="47" spans="1:8" s="91" customFormat="1" ht="47.25">
      <c r="A47" s="195" t="s">
        <v>416</v>
      </c>
      <c r="B47" s="98">
        <v>931</v>
      </c>
      <c r="C47" s="96" t="s">
        <v>210</v>
      </c>
      <c r="D47" s="96" t="s">
        <v>216</v>
      </c>
      <c r="E47" s="96" t="s">
        <v>1267</v>
      </c>
      <c r="F47" s="106" t="s">
        <v>417</v>
      </c>
      <c r="G47" s="107">
        <v>786.50514999999996</v>
      </c>
      <c r="H47" s="107">
        <v>0</v>
      </c>
    </row>
    <row r="48" spans="1:8" s="91" customFormat="1" ht="31.5">
      <c r="A48" s="77" t="s">
        <v>194</v>
      </c>
      <c r="B48" s="98">
        <v>931</v>
      </c>
      <c r="C48" s="96" t="s">
        <v>210</v>
      </c>
      <c r="D48" s="96" t="s">
        <v>216</v>
      </c>
      <c r="E48" s="96" t="s">
        <v>1246</v>
      </c>
      <c r="F48" s="106"/>
      <c r="G48" s="107">
        <f>G49+G50</f>
        <v>4754.6000000000004</v>
      </c>
      <c r="H48" s="107">
        <v>0</v>
      </c>
    </row>
    <row r="49" spans="1:8" s="91" customFormat="1">
      <c r="A49" s="76" t="s">
        <v>415</v>
      </c>
      <c r="B49" s="98">
        <v>931</v>
      </c>
      <c r="C49" s="96" t="s">
        <v>210</v>
      </c>
      <c r="D49" s="96" t="s">
        <v>216</v>
      </c>
      <c r="E49" s="96" t="s">
        <v>1246</v>
      </c>
      <c r="F49" s="106" t="s">
        <v>400</v>
      </c>
      <c r="G49" s="107">
        <v>3651.7665099999999</v>
      </c>
      <c r="H49" s="107">
        <v>0</v>
      </c>
    </row>
    <row r="50" spans="1:8" s="91" customFormat="1" ht="47.25">
      <c r="A50" s="195" t="s">
        <v>416</v>
      </c>
      <c r="B50" s="98">
        <v>931</v>
      </c>
      <c r="C50" s="96" t="s">
        <v>210</v>
      </c>
      <c r="D50" s="96" t="s">
        <v>216</v>
      </c>
      <c r="E50" s="96" t="s">
        <v>1246</v>
      </c>
      <c r="F50" s="106" t="s">
        <v>417</v>
      </c>
      <c r="G50" s="107">
        <v>1102.83349</v>
      </c>
      <c r="H50" s="107">
        <v>0</v>
      </c>
    </row>
    <row r="51" spans="1:8" s="91" customFormat="1" ht="60" customHeight="1">
      <c r="A51" s="173" t="s">
        <v>692</v>
      </c>
      <c r="B51" s="174">
        <v>931</v>
      </c>
      <c r="C51" s="175" t="s">
        <v>210</v>
      </c>
      <c r="D51" s="175" t="s">
        <v>216</v>
      </c>
      <c r="E51" s="175" t="s">
        <v>839</v>
      </c>
      <c r="F51" s="176"/>
      <c r="G51" s="177">
        <f>G52</f>
        <v>1015.5940000000001</v>
      </c>
      <c r="H51" s="177">
        <f>H52</f>
        <v>0</v>
      </c>
    </row>
    <row r="52" spans="1:8" s="91" customFormat="1" ht="32.25" customHeight="1">
      <c r="A52" s="221" t="s">
        <v>868</v>
      </c>
      <c r="B52" s="341">
        <v>931</v>
      </c>
      <c r="C52" s="204" t="s">
        <v>210</v>
      </c>
      <c r="D52" s="204" t="s">
        <v>216</v>
      </c>
      <c r="E52" s="204" t="s">
        <v>842</v>
      </c>
      <c r="F52" s="644"/>
      <c r="G52" s="201">
        <f>G53+G54</f>
        <v>1015.5940000000001</v>
      </c>
      <c r="H52" s="201">
        <f>H53+H54</f>
        <v>0</v>
      </c>
    </row>
    <row r="53" spans="1:8" ht="31.5">
      <c r="A53" s="125" t="s">
        <v>406</v>
      </c>
      <c r="B53" s="98">
        <v>931</v>
      </c>
      <c r="C53" s="96" t="s">
        <v>210</v>
      </c>
      <c r="D53" s="96" t="s">
        <v>216</v>
      </c>
      <c r="E53" s="149" t="s">
        <v>843</v>
      </c>
      <c r="F53" s="110">
        <v>242</v>
      </c>
      <c r="G53" s="109">
        <v>759.7</v>
      </c>
      <c r="H53" s="109">
        <v>0</v>
      </c>
    </row>
    <row r="54" spans="1:8" ht="31.5">
      <c r="A54" s="152" t="s">
        <v>267</v>
      </c>
      <c r="B54" s="98">
        <v>931</v>
      </c>
      <c r="C54" s="96" t="s">
        <v>210</v>
      </c>
      <c r="D54" s="96" t="s">
        <v>216</v>
      </c>
      <c r="E54" s="149" t="s">
        <v>843</v>
      </c>
      <c r="F54" s="110">
        <v>244</v>
      </c>
      <c r="G54" s="109">
        <v>255.89400000000001</v>
      </c>
      <c r="H54" s="109">
        <v>0</v>
      </c>
    </row>
    <row r="55" spans="1:8" hidden="1">
      <c r="A55" s="334" t="s">
        <v>974</v>
      </c>
      <c r="B55" s="335">
        <v>931</v>
      </c>
      <c r="C55" s="336" t="s">
        <v>236</v>
      </c>
      <c r="D55" s="336"/>
      <c r="E55" s="336"/>
      <c r="F55" s="96"/>
      <c r="G55" s="109">
        <f>G56</f>
        <v>0</v>
      </c>
      <c r="H55" s="109"/>
    </row>
    <row r="56" spans="1:8" ht="31.5" hidden="1">
      <c r="A56" s="169" t="s">
        <v>989</v>
      </c>
      <c r="B56" s="153">
        <v>931</v>
      </c>
      <c r="C56" s="149" t="s">
        <v>236</v>
      </c>
      <c r="D56" s="149" t="s">
        <v>210</v>
      </c>
      <c r="E56" s="336"/>
      <c r="F56" s="96"/>
      <c r="G56" s="109">
        <f>G57</f>
        <v>0</v>
      </c>
      <c r="H56" s="109"/>
    </row>
    <row r="57" spans="1:8" hidden="1">
      <c r="A57" s="169" t="s">
        <v>975</v>
      </c>
      <c r="B57" s="149" t="s">
        <v>195</v>
      </c>
      <c r="C57" s="149" t="s">
        <v>236</v>
      </c>
      <c r="D57" s="149" t="s">
        <v>210</v>
      </c>
      <c r="E57" s="149" t="s">
        <v>2</v>
      </c>
      <c r="F57" s="149" t="s">
        <v>976</v>
      </c>
      <c r="G57" s="109"/>
      <c r="H57" s="109"/>
    </row>
    <row r="58" spans="1:8" s="91" customFormat="1" ht="47.25">
      <c r="A58" s="80" t="s">
        <v>153</v>
      </c>
      <c r="B58" s="102">
        <v>931</v>
      </c>
      <c r="C58" s="103" t="s">
        <v>223</v>
      </c>
      <c r="D58" s="103"/>
      <c r="E58" s="103"/>
      <c r="F58" s="103"/>
      <c r="G58" s="104">
        <f>G59+G64</f>
        <v>29496.3</v>
      </c>
      <c r="H58" s="104">
        <f>H59+H64</f>
        <v>96.3</v>
      </c>
    </row>
    <row r="59" spans="1:8" s="91" customFormat="1" ht="31.5">
      <c r="A59" s="79" t="s">
        <v>542</v>
      </c>
      <c r="B59" s="105">
        <v>931</v>
      </c>
      <c r="C59" s="106" t="s">
        <v>223</v>
      </c>
      <c r="D59" s="106" t="s">
        <v>210</v>
      </c>
      <c r="E59" s="106"/>
      <c r="F59" s="106"/>
      <c r="G59" s="107">
        <f>G60</f>
        <v>96.3</v>
      </c>
      <c r="H59" s="107">
        <f>H60</f>
        <v>96.3</v>
      </c>
    </row>
    <row r="60" spans="1:8" s="91" customFormat="1" ht="31.5">
      <c r="A60" s="173" t="s">
        <v>692</v>
      </c>
      <c r="B60" s="182">
        <v>931</v>
      </c>
      <c r="C60" s="183" t="s">
        <v>223</v>
      </c>
      <c r="D60" s="183" t="s">
        <v>210</v>
      </c>
      <c r="E60" s="184" t="s">
        <v>840</v>
      </c>
      <c r="F60" s="183"/>
      <c r="G60" s="185">
        <f>G62</f>
        <v>96.3</v>
      </c>
      <c r="H60" s="185">
        <f>H62</f>
        <v>96.3</v>
      </c>
    </row>
    <row r="61" spans="1:8" s="91" customFormat="1" ht="31.5">
      <c r="A61" s="221" t="s">
        <v>869</v>
      </c>
      <c r="B61" s="643">
        <v>931</v>
      </c>
      <c r="C61" s="344" t="s">
        <v>223</v>
      </c>
      <c r="D61" s="344" t="s">
        <v>210</v>
      </c>
      <c r="E61" s="204" t="s">
        <v>846</v>
      </c>
      <c r="F61" s="344"/>
      <c r="G61" s="222">
        <f t="shared" ref="G61:H62" si="2">G62</f>
        <v>96.3</v>
      </c>
      <c r="H61" s="222">
        <f t="shared" si="2"/>
        <v>96.3</v>
      </c>
    </row>
    <row r="62" spans="1:8" s="91" customFormat="1" ht="31.5">
      <c r="A62" s="221" t="s">
        <v>398</v>
      </c>
      <c r="B62" s="341">
        <v>931</v>
      </c>
      <c r="C62" s="204" t="s">
        <v>223</v>
      </c>
      <c r="D62" s="204" t="s">
        <v>210</v>
      </c>
      <c r="E62" s="204" t="s">
        <v>845</v>
      </c>
      <c r="F62" s="200"/>
      <c r="G62" s="201">
        <f t="shared" si="2"/>
        <v>96.3</v>
      </c>
      <c r="H62" s="201">
        <f t="shared" si="2"/>
        <v>96.3</v>
      </c>
    </row>
    <row r="63" spans="1:8" ht="31.5">
      <c r="A63" s="238" t="s">
        <v>541</v>
      </c>
      <c r="B63" s="98">
        <v>931</v>
      </c>
      <c r="C63" s="96" t="s">
        <v>223</v>
      </c>
      <c r="D63" s="96" t="s">
        <v>210</v>
      </c>
      <c r="E63" s="204" t="s">
        <v>845</v>
      </c>
      <c r="F63" s="96" t="s">
        <v>53</v>
      </c>
      <c r="G63" s="109">
        <v>96.3</v>
      </c>
      <c r="H63" s="109">
        <f>G63</f>
        <v>96.3</v>
      </c>
    </row>
    <row r="64" spans="1:8" s="91" customFormat="1">
      <c r="A64" s="79" t="s">
        <v>73</v>
      </c>
      <c r="B64" s="105">
        <v>931</v>
      </c>
      <c r="C64" s="106" t="s">
        <v>223</v>
      </c>
      <c r="D64" s="106" t="s">
        <v>213</v>
      </c>
      <c r="E64" s="106"/>
      <c r="F64" s="106"/>
      <c r="G64" s="107">
        <f>G65</f>
        <v>29400</v>
      </c>
      <c r="H64" s="107">
        <f>H65</f>
        <v>0</v>
      </c>
    </row>
    <row r="65" spans="1:8" s="90" customFormat="1" ht="31.5">
      <c r="A65" s="173" t="s">
        <v>692</v>
      </c>
      <c r="B65" s="182">
        <v>931</v>
      </c>
      <c r="C65" s="183" t="s">
        <v>223</v>
      </c>
      <c r="D65" s="183" t="s">
        <v>213</v>
      </c>
      <c r="E65" s="184" t="s">
        <v>840</v>
      </c>
      <c r="F65" s="175"/>
      <c r="G65" s="177">
        <f t="shared" ref="G65:H67" si="3">G66</f>
        <v>29400</v>
      </c>
      <c r="H65" s="177">
        <f t="shared" si="3"/>
        <v>0</v>
      </c>
    </row>
    <row r="66" spans="1:8" s="90" customFormat="1" ht="31.5">
      <c r="A66" s="221" t="s">
        <v>869</v>
      </c>
      <c r="B66" s="643">
        <v>931</v>
      </c>
      <c r="C66" s="344" t="s">
        <v>223</v>
      </c>
      <c r="D66" s="344" t="s">
        <v>213</v>
      </c>
      <c r="E66" s="204" t="s">
        <v>844</v>
      </c>
      <c r="F66" s="200"/>
      <c r="G66" s="201">
        <f t="shared" si="3"/>
        <v>29400</v>
      </c>
      <c r="H66" s="201">
        <f t="shared" si="3"/>
        <v>0</v>
      </c>
    </row>
    <row r="67" spans="1:8" s="90" customFormat="1" ht="47.25" customHeight="1">
      <c r="A67" s="221" t="s">
        <v>841</v>
      </c>
      <c r="B67" s="341">
        <v>931</v>
      </c>
      <c r="C67" s="204" t="s">
        <v>223</v>
      </c>
      <c r="D67" s="204" t="s">
        <v>213</v>
      </c>
      <c r="E67" s="204" t="s">
        <v>844</v>
      </c>
      <c r="F67" s="200"/>
      <c r="G67" s="201">
        <f t="shared" si="3"/>
        <v>29400</v>
      </c>
      <c r="H67" s="201">
        <f t="shared" si="3"/>
        <v>0</v>
      </c>
    </row>
    <row r="68" spans="1:8">
      <c r="A68" s="76" t="s">
        <v>399</v>
      </c>
      <c r="B68" s="98">
        <v>931</v>
      </c>
      <c r="C68" s="96" t="s">
        <v>223</v>
      </c>
      <c r="D68" s="96" t="s">
        <v>213</v>
      </c>
      <c r="E68" s="204" t="s">
        <v>844</v>
      </c>
      <c r="F68" s="96" t="s">
        <v>410</v>
      </c>
      <c r="G68" s="109">
        <v>29400</v>
      </c>
      <c r="H68" s="109">
        <v>0</v>
      </c>
    </row>
    <row r="69" spans="1:8" s="90" customFormat="1">
      <c r="A69" s="123" t="s">
        <v>196</v>
      </c>
      <c r="B69" s="99">
        <v>934</v>
      </c>
      <c r="C69" s="100"/>
      <c r="D69" s="100"/>
      <c r="E69" s="100"/>
      <c r="F69" s="100"/>
      <c r="G69" s="101">
        <f>G70+G133+G140+G194+G200+G218+G230+G271+G296+G302+G188</f>
        <v>160263.74878000002</v>
      </c>
      <c r="H69" s="101">
        <f>H70+H133+H140+H194+H200+H218+H230+H271+H296+H302</f>
        <v>57654.099999999991</v>
      </c>
    </row>
    <row r="70" spans="1:8" s="92" customFormat="1" ht="20.25" customHeight="1">
      <c r="A70" s="80" t="s">
        <v>224</v>
      </c>
      <c r="B70" s="102">
        <v>934</v>
      </c>
      <c r="C70" s="103" t="s">
        <v>210</v>
      </c>
      <c r="D70" s="103"/>
      <c r="E70" s="103"/>
      <c r="F70" s="103"/>
      <c r="G70" s="104">
        <f>G71+G79+G105+G108+G96+G102</f>
        <v>44459.488730000005</v>
      </c>
      <c r="H70" s="104">
        <f>H71+H79+H105+H108+H96</f>
        <v>1682.7</v>
      </c>
    </row>
    <row r="71" spans="1:8" s="91" customFormat="1" ht="31.5">
      <c r="A71" s="79" t="s">
        <v>380</v>
      </c>
      <c r="B71" s="105">
        <v>934</v>
      </c>
      <c r="C71" s="106" t="s">
        <v>210</v>
      </c>
      <c r="D71" s="106" t="s">
        <v>211</v>
      </c>
      <c r="E71" s="106"/>
      <c r="F71" s="106"/>
      <c r="G71" s="107">
        <f>G72</f>
        <v>1709.66661</v>
      </c>
      <c r="H71" s="107">
        <f t="shared" ref="G71:H74" si="4">H72</f>
        <v>0</v>
      </c>
    </row>
    <row r="72" spans="1:8" s="91" customFormat="1" ht="47.25">
      <c r="A72" s="625" t="s">
        <v>1236</v>
      </c>
      <c r="B72" s="174">
        <v>934</v>
      </c>
      <c r="C72" s="175" t="s">
        <v>210</v>
      </c>
      <c r="D72" s="175" t="s">
        <v>211</v>
      </c>
      <c r="E72" s="634" t="s">
        <v>1249</v>
      </c>
      <c r="F72" s="183"/>
      <c r="G72" s="185">
        <f t="shared" si="4"/>
        <v>1709.66661</v>
      </c>
      <c r="H72" s="185">
        <f t="shared" si="4"/>
        <v>0</v>
      </c>
    </row>
    <row r="73" spans="1:8" s="91" customFormat="1" ht="43.5" customHeight="1">
      <c r="A73" s="829" t="s">
        <v>1248</v>
      </c>
      <c r="B73" s="97">
        <v>934</v>
      </c>
      <c r="C73" s="95" t="s">
        <v>210</v>
      </c>
      <c r="D73" s="95" t="s">
        <v>211</v>
      </c>
      <c r="E73" s="96" t="s">
        <v>1266</v>
      </c>
      <c r="F73" s="106"/>
      <c r="G73" s="107">
        <f t="shared" si="4"/>
        <v>1709.66661</v>
      </c>
      <c r="H73" s="107">
        <f t="shared" si="4"/>
        <v>0</v>
      </c>
    </row>
    <row r="74" spans="1:8" s="91" customFormat="1" ht="54" customHeight="1">
      <c r="A74" s="829" t="s">
        <v>1237</v>
      </c>
      <c r="B74" s="97">
        <v>934</v>
      </c>
      <c r="C74" s="95" t="s">
        <v>210</v>
      </c>
      <c r="D74" s="95" t="s">
        <v>211</v>
      </c>
      <c r="E74" s="96" t="s">
        <v>1242</v>
      </c>
      <c r="F74" s="106"/>
      <c r="G74" s="107">
        <f t="shared" si="4"/>
        <v>1709.66661</v>
      </c>
      <c r="H74" s="107">
        <f t="shared" si="4"/>
        <v>0</v>
      </c>
    </row>
    <row r="75" spans="1:8" s="91" customFormat="1" ht="40.5" customHeight="1">
      <c r="A75" s="829" t="s">
        <v>1207</v>
      </c>
      <c r="B75" s="98">
        <v>934</v>
      </c>
      <c r="C75" s="96" t="s">
        <v>210</v>
      </c>
      <c r="D75" s="96" t="s">
        <v>211</v>
      </c>
      <c r="E75" s="96" t="s">
        <v>1243</v>
      </c>
      <c r="F75" s="106"/>
      <c r="G75" s="107">
        <f>G76+G77+G78</f>
        <v>1709.66661</v>
      </c>
      <c r="H75" s="107">
        <f>H76+H77+H78</f>
        <v>0</v>
      </c>
    </row>
    <row r="76" spans="1:8">
      <c r="A76" s="76" t="s">
        <v>415</v>
      </c>
      <c r="B76" s="98">
        <v>934</v>
      </c>
      <c r="C76" s="96" t="s">
        <v>210</v>
      </c>
      <c r="D76" s="96" t="s">
        <v>211</v>
      </c>
      <c r="E76" s="96" t="s">
        <v>1243</v>
      </c>
      <c r="F76" s="96" t="s">
        <v>400</v>
      </c>
      <c r="G76" s="109">
        <v>1305.4275</v>
      </c>
      <c r="H76" s="109">
        <v>0</v>
      </c>
    </row>
    <row r="77" spans="1:8" ht="31.5">
      <c r="A77" s="76" t="s">
        <v>10</v>
      </c>
      <c r="B77" s="98">
        <v>934</v>
      </c>
      <c r="C77" s="96" t="s">
        <v>210</v>
      </c>
      <c r="D77" s="96" t="s">
        <v>211</v>
      </c>
      <c r="E77" s="96" t="s">
        <v>1243</v>
      </c>
      <c r="F77" s="96" t="s">
        <v>405</v>
      </c>
      <c r="G77" s="109">
        <v>10</v>
      </c>
      <c r="H77" s="109">
        <v>0</v>
      </c>
    </row>
    <row r="78" spans="1:8" ht="47.25">
      <c r="A78" s="195" t="s">
        <v>416</v>
      </c>
      <c r="B78" s="98">
        <v>934</v>
      </c>
      <c r="C78" s="96" t="s">
        <v>210</v>
      </c>
      <c r="D78" s="96" t="s">
        <v>211</v>
      </c>
      <c r="E78" s="96" t="s">
        <v>1243</v>
      </c>
      <c r="F78" s="96" t="s">
        <v>417</v>
      </c>
      <c r="G78" s="109">
        <v>394.23910999999998</v>
      </c>
      <c r="H78" s="109">
        <v>0</v>
      </c>
    </row>
    <row r="79" spans="1:8" s="91" customFormat="1" ht="47.25">
      <c r="A79" s="79" t="s">
        <v>266</v>
      </c>
      <c r="B79" s="105">
        <v>934</v>
      </c>
      <c r="C79" s="106" t="s">
        <v>210</v>
      </c>
      <c r="D79" s="106" t="s">
        <v>219</v>
      </c>
      <c r="E79" s="106"/>
      <c r="F79" s="106"/>
      <c r="G79" s="107">
        <f>G80+G93+G84</f>
        <v>11050.28182</v>
      </c>
      <c r="H79" s="107">
        <f>H80+H93+H84</f>
        <v>0</v>
      </c>
    </row>
    <row r="80" spans="1:8" s="91" customFormat="1" ht="47.25">
      <c r="A80" s="173" t="s">
        <v>776</v>
      </c>
      <c r="B80" s="174">
        <v>934</v>
      </c>
      <c r="C80" s="175" t="s">
        <v>210</v>
      </c>
      <c r="D80" s="175" t="s">
        <v>219</v>
      </c>
      <c r="E80" s="175" t="s">
        <v>527</v>
      </c>
      <c r="F80" s="175"/>
      <c r="G80" s="177">
        <f>G81</f>
        <v>714.9</v>
      </c>
      <c r="H80" s="177">
        <f>H81+H85</f>
        <v>0</v>
      </c>
    </row>
    <row r="81" spans="1:8" s="91" customFormat="1" ht="31.5">
      <c r="A81" s="188" t="s">
        <v>931</v>
      </c>
      <c r="B81" s="189">
        <v>934</v>
      </c>
      <c r="C81" s="186" t="s">
        <v>210</v>
      </c>
      <c r="D81" s="186" t="s">
        <v>219</v>
      </c>
      <c r="E81" s="661" t="s">
        <v>1210</v>
      </c>
      <c r="F81" s="180"/>
      <c r="G81" s="181">
        <f>G82</f>
        <v>714.9</v>
      </c>
      <c r="H81" s="181">
        <v>0</v>
      </c>
    </row>
    <row r="82" spans="1:8" s="91" customFormat="1" ht="39.75" customHeight="1">
      <c r="A82" s="221" t="s">
        <v>932</v>
      </c>
      <c r="B82" s="174">
        <v>934</v>
      </c>
      <c r="C82" s="175" t="s">
        <v>210</v>
      </c>
      <c r="D82" s="175" t="s">
        <v>219</v>
      </c>
      <c r="E82" s="184" t="s">
        <v>504</v>
      </c>
      <c r="F82" s="175"/>
      <c r="G82" s="177">
        <f>G83</f>
        <v>714.9</v>
      </c>
      <c r="H82" s="177">
        <v>0</v>
      </c>
    </row>
    <row r="83" spans="1:8" ht="31.5">
      <c r="A83" s="152" t="s">
        <v>267</v>
      </c>
      <c r="B83" s="98">
        <v>934</v>
      </c>
      <c r="C83" s="96" t="s">
        <v>210</v>
      </c>
      <c r="D83" s="96" t="s">
        <v>219</v>
      </c>
      <c r="E83" s="96" t="s">
        <v>504</v>
      </c>
      <c r="F83" s="110">
        <v>244</v>
      </c>
      <c r="G83" s="109">
        <f>634.9+30+50</f>
        <v>714.9</v>
      </c>
      <c r="H83" s="109">
        <v>0</v>
      </c>
    </row>
    <row r="84" spans="1:8" ht="47.25">
      <c r="A84" s="625" t="s">
        <v>1236</v>
      </c>
      <c r="B84" s="191">
        <v>934</v>
      </c>
      <c r="C84" s="184" t="s">
        <v>210</v>
      </c>
      <c r="D84" s="184" t="s">
        <v>219</v>
      </c>
      <c r="E84" s="634" t="s">
        <v>1249</v>
      </c>
      <c r="F84" s="850"/>
      <c r="G84" s="193">
        <f>G85</f>
        <v>8440.2938200000008</v>
      </c>
      <c r="H84" s="193">
        <v>0</v>
      </c>
    </row>
    <row r="85" spans="1:8" ht="42" customHeight="1">
      <c r="A85" s="829" t="s">
        <v>1248</v>
      </c>
      <c r="B85" s="189">
        <v>934</v>
      </c>
      <c r="C85" s="186" t="s">
        <v>210</v>
      </c>
      <c r="D85" s="186" t="s">
        <v>219</v>
      </c>
      <c r="E85" s="96" t="s">
        <v>1266</v>
      </c>
      <c r="F85" s="826"/>
      <c r="G85" s="194">
        <f>G86</f>
        <v>8440.2938200000008</v>
      </c>
      <c r="H85" s="194">
        <v>0</v>
      </c>
    </row>
    <row r="86" spans="1:8" ht="47.25">
      <c r="A86" s="829" t="s">
        <v>1237</v>
      </c>
      <c r="B86" s="98">
        <v>934</v>
      </c>
      <c r="C86" s="96" t="s">
        <v>210</v>
      </c>
      <c r="D86" s="96" t="s">
        <v>219</v>
      </c>
      <c r="E86" s="96" t="s">
        <v>1242</v>
      </c>
      <c r="F86" s="110"/>
      <c r="G86" s="109">
        <f>G87</f>
        <v>8440.2938200000008</v>
      </c>
      <c r="H86" s="109">
        <v>0</v>
      </c>
    </row>
    <row r="87" spans="1:8">
      <c r="A87" s="829" t="s">
        <v>1207</v>
      </c>
      <c r="B87" s="98">
        <v>934</v>
      </c>
      <c r="C87" s="96" t="s">
        <v>210</v>
      </c>
      <c r="D87" s="96" t="s">
        <v>219</v>
      </c>
      <c r="E87" s="96" t="s">
        <v>1267</v>
      </c>
      <c r="F87" s="110"/>
      <c r="G87" s="109">
        <f>G88+G89+G90+G91+G92</f>
        <v>8440.2938200000008</v>
      </c>
      <c r="H87" s="109">
        <v>0</v>
      </c>
    </row>
    <row r="88" spans="1:8">
      <c r="A88" s="76" t="s">
        <v>415</v>
      </c>
      <c r="B88" s="98">
        <v>934</v>
      </c>
      <c r="C88" s="96" t="s">
        <v>210</v>
      </c>
      <c r="D88" s="96" t="s">
        <v>219</v>
      </c>
      <c r="E88" s="96" t="s">
        <v>1267</v>
      </c>
      <c r="F88" s="96" t="s">
        <v>400</v>
      </c>
      <c r="G88" s="109">
        <v>5945.6941800000004</v>
      </c>
      <c r="H88" s="109">
        <v>0</v>
      </c>
    </row>
    <row r="89" spans="1:8" ht="31.5">
      <c r="A89" s="76" t="s">
        <v>10</v>
      </c>
      <c r="B89" s="98">
        <v>934</v>
      </c>
      <c r="C89" s="96" t="s">
        <v>210</v>
      </c>
      <c r="D89" s="96" t="s">
        <v>219</v>
      </c>
      <c r="E89" s="96" t="s">
        <v>1267</v>
      </c>
      <c r="F89" s="96" t="s">
        <v>405</v>
      </c>
      <c r="G89" s="109">
        <v>20</v>
      </c>
      <c r="H89" s="109">
        <v>0</v>
      </c>
    </row>
    <row r="90" spans="1:8" ht="47.25">
      <c r="A90" s="195" t="s">
        <v>416</v>
      </c>
      <c r="B90" s="98">
        <v>934</v>
      </c>
      <c r="C90" s="96" t="s">
        <v>210</v>
      </c>
      <c r="D90" s="96" t="s">
        <v>219</v>
      </c>
      <c r="E90" s="96" t="s">
        <v>1267</v>
      </c>
      <c r="F90" s="96" t="s">
        <v>417</v>
      </c>
      <c r="G90" s="109">
        <v>1795.5996399999999</v>
      </c>
      <c r="H90" s="109">
        <v>0</v>
      </c>
    </row>
    <row r="91" spans="1:8" ht="31.5" hidden="1">
      <c r="A91" s="125" t="s">
        <v>406</v>
      </c>
      <c r="B91" s="98">
        <v>934</v>
      </c>
      <c r="C91" s="96" t="s">
        <v>210</v>
      </c>
      <c r="D91" s="96" t="s">
        <v>219</v>
      </c>
      <c r="E91" s="96" t="s">
        <v>1267</v>
      </c>
      <c r="F91" s="96" t="s">
        <v>407</v>
      </c>
      <c r="G91" s="109"/>
      <c r="H91" s="109"/>
    </row>
    <row r="92" spans="1:8" ht="31.5">
      <c r="A92" s="152" t="s">
        <v>267</v>
      </c>
      <c r="B92" s="98">
        <v>934</v>
      </c>
      <c r="C92" s="96" t="s">
        <v>210</v>
      </c>
      <c r="D92" s="96" t="s">
        <v>219</v>
      </c>
      <c r="E92" s="96" t="s">
        <v>1267</v>
      </c>
      <c r="F92" s="96" t="s">
        <v>401</v>
      </c>
      <c r="G92" s="109">
        <f>500+110+69</f>
        <v>679</v>
      </c>
      <c r="H92" s="109">
        <f>G92</f>
        <v>679</v>
      </c>
    </row>
    <row r="93" spans="1:8" ht="47.25">
      <c r="A93" s="625" t="s">
        <v>1228</v>
      </c>
      <c r="B93" s="191">
        <v>934</v>
      </c>
      <c r="C93" s="184" t="s">
        <v>210</v>
      </c>
      <c r="D93" s="184" t="s">
        <v>219</v>
      </c>
      <c r="E93" s="184" t="s">
        <v>551</v>
      </c>
      <c r="F93" s="184"/>
      <c r="G93" s="193">
        <f>G94</f>
        <v>1895.088</v>
      </c>
      <c r="H93" s="193">
        <v>0</v>
      </c>
    </row>
    <row r="94" spans="1:8" ht="47.25">
      <c r="A94" s="221" t="s">
        <v>863</v>
      </c>
      <c r="B94" s="98">
        <v>934</v>
      </c>
      <c r="C94" s="96" t="s">
        <v>210</v>
      </c>
      <c r="D94" s="96" t="s">
        <v>219</v>
      </c>
      <c r="E94" s="96" t="s">
        <v>551</v>
      </c>
      <c r="F94" s="96"/>
      <c r="G94" s="109">
        <f>G95</f>
        <v>1895.088</v>
      </c>
      <c r="H94" s="109">
        <v>0</v>
      </c>
    </row>
    <row r="95" spans="1:8">
      <c r="A95" s="76" t="s">
        <v>403</v>
      </c>
      <c r="B95" s="98">
        <v>934</v>
      </c>
      <c r="C95" s="96" t="s">
        <v>210</v>
      </c>
      <c r="D95" s="96" t="s">
        <v>219</v>
      </c>
      <c r="E95" s="96" t="s">
        <v>1227</v>
      </c>
      <c r="F95" s="96" t="s">
        <v>1208</v>
      </c>
      <c r="G95" s="109">
        <f>698.03+1197.058</f>
        <v>1895.088</v>
      </c>
      <c r="H95" s="109">
        <v>0</v>
      </c>
    </row>
    <row r="96" spans="1:8" s="90" customFormat="1">
      <c r="A96" s="80" t="s">
        <v>145</v>
      </c>
      <c r="B96" s="102">
        <v>934</v>
      </c>
      <c r="C96" s="103" t="s">
        <v>210</v>
      </c>
      <c r="D96" s="103" t="s">
        <v>220</v>
      </c>
      <c r="E96" s="336"/>
      <c r="F96" s="490"/>
      <c r="G96" s="122">
        <f t="shared" ref="G96:H100" si="5">G97</f>
        <v>112.2</v>
      </c>
      <c r="H96" s="122">
        <f t="shared" si="5"/>
        <v>112.2</v>
      </c>
    </row>
    <row r="97" spans="1:8" s="90" customFormat="1" ht="47.25">
      <c r="A97" s="625" t="s">
        <v>1236</v>
      </c>
      <c r="B97" s="859">
        <v>934</v>
      </c>
      <c r="C97" s="634" t="s">
        <v>210</v>
      </c>
      <c r="D97" s="634" t="s">
        <v>220</v>
      </c>
      <c r="E97" s="634" t="s">
        <v>1249</v>
      </c>
      <c r="F97" s="862"/>
      <c r="G97" s="460">
        <f t="shared" si="5"/>
        <v>112.2</v>
      </c>
      <c r="H97" s="460">
        <f t="shared" si="5"/>
        <v>112.2</v>
      </c>
    </row>
    <row r="98" spans="1:8" s="90" customFormat="1" ht="31.5">
      <c r="A98" s="829" t="s">
        <v>1248</v>
      </c>
      <c r="B98" s="102">
        <v>934</v>
      </c>
      <c r="C98" s="103" t="s">
        <v>210</v>
      </c>
      <c r="D98" s="103" t="s">
        <v>220</v>
      </c>
      <c r="E98" s="336" t="s">
        <v>1266</v>
      </c>
      <c r="F98" s="490"/>
      <c r="G98" s="122">
        <f t="shared" si="5"/>
        <v>112.2</v>
      </c>
      <c r="H98" s="122">
        <f t="shared" si="5"/>
        <v>112.2</v>
      </c>
    </row>
    <row r="99" spans="1:8" s="90" customFormat="1" ht="47.25">
      <c r="A99" s="575" t="s">
        <v>1245</v>
      </c>
      <c r="B99" s="102">
        <v>934</v>
      </c>
      <c r="C99" s="103" t="s">
        <v>210</v>
      </c>
      <c r="D99" s="103" t="s">
        <v>220</v>
      </c>
      <c r="E99" s="103" t="s">
        <v>1244</v>
      </c>
      <c r="F99" s="490"/>
      <c r="G99" s="122">
        <f t="shared" si="5"/>
        <v>112.2</v>
      </c>
      <c r="H99" s="122">
        <f t="shared" si="5"/>
        <v>112.2</v>
      </c>
    </row>
    <row r="100" spans="1:8" ht="47.25">
      <c r="A100" s="76" t="s">
        <v>603</v>
      </c>
      <c r="B100" s="98">
        <v>934</v>
      </c>
      <c r="C100" s="96" t="s">
        <v>210</v>
      </c>
      <c r="D100" s="96" t="s">
        <v>220</v>
      </c>
      <c r="E100" s="149" t="s">
        <v>1250</v>
      </c>
      <c r="F100" s="423"/>
      <c r="G100" s="148">
        <f t="shared" si="5"/>
        <v>112.2</v>
      </c>
      <c r="H100" s="148">
        <f t="shared" si="5"/>
        <v>112.2</v>
      </c>
    </row>
    <row r="101" spans="1:8" ht="31.5">
      <c r="A101" s="152" t="s">
        <v>267</v>
      </c>
      <c r="B101" s="98">
        <v>934</v>
      </c>
      <c r="C101" s="96" t="s">
        <v>210</v>
      </c>
      <c r="D101" s="96" t="s">
        <v>220</v>
      </c>
      <c r="E101" s="149" t="s">
        <v>1250</v>
      </c>
      <c r="F101" s="423">
        <v>244</v>
      </c>
      <c r="G101" s="148">
        <v>112.2</v>
      </c>
      <c r="H101" s="148">
        <f>G101</f>
        <v>112.2</v>
      </c>
    </row>
    <row r="102" spans="1:8">
      <c r="A102" s="864" t="s">
        <v>1286</v>
      </c>
      <c r="B102" s="102">
        <v>934</v>
      </c>
      <c r="C102" s="103" t="s">
        <v>210</v>
      </c>
      <c r="D102" s="103" t="s">
        <v>212</v>
      </c>
      <c r="E102" s="336"/>
      <c r="F102" s="490"/>
      <c r="G102" s="122">
        <f>G103</f>
        <v>225.154</v>
      </c>
      <c r="H102" s="122">
        <v>0</v>
      </c>
    </row>
    <row r="103" spans="1:8" ht="31.5">
      <c r="A103" s="77" t="s">
        <v>861</v>
      </c>
      <c r="B103" s="474">
        <v>934</v>
      </c>
      <c r="C103" s="96" t="s">
        <v>210</v>
      </c>
      <c r="D103" s="96" t="s">
        <v>212</v>
      </c>
      <c r="E103" s="230" t="s">
        <v>765</v>
      </c>
      <c r="F103" s="423"/>
      <c r="G103" s="148">
        <f>G104</f>
        <v>225.154</v>
      </c>
      <c r="H103" s="148">
        <v>0</v>
      </c>
    </row>
    <row r="104" spans="1:8">
      <c r="A104" s="76" t="s">
        <v>1287</v>
      </c>
      <c r="B104" s="474">
        <v>934</v>
      </c>
      <c r="C104" s="96" t="s">
        <v>210</v>
      </c>
      <c r="D104" s="504" t="s">
        <v>212</v>
      </c>
      <c r="E104" s="230" t="s">
        <v>765</v>
      </c>
      <c r="F104" s="423">
        <v>880</v>
      </c>
      <c r="G104" s="148">
        <v>225.154</v>
      </c>
      <c r="H104" s="148">
        <v>0</v>
      </c>
    </row>
    <row r="105" spans="1:8" s="91" customFormat="1" ht="26.25" customHeight="1">
      <c r="A105" s="79" t="s">
        <v>228</v>
      </c>
      <c r="B105" s="105">
        <v>934</v>
      </c>
      <c r="C105" s="106" t="s">
        <v>210</v>
      </c>
      <c r="D105" s="106" t="s">
        <v>218</v>
      </c>
      <c r="E105" s="106"/>
      <c r="F105" s="106"/>
      <c r="G105" s="107">
        <f t="shared" ref="G105:H106" si="6">G106</f>
        <v>500</v>
      </c>
      <c r="H105" s="107">
        <f t="shared" si="6"/>
        <v>0</v>
      </c>
    </row>
    <row r="106" spans="1:8" s="91" customFormat="1">
      <c r="A106" s="77" t="s">
        <v>197</v>
      </c>
      <c r="B106" s="97">
        <v>934</v>
      </c>
      <c r="C106" s="95" t="s">
        <v>210</v>
      </c>
      <c r="D106" s="95" t="s">
        <v>218</v>
      </c>
      <c r="E106" s="96" t="s">
        <v>505</v>
      </c>
      <c r="F106" s="95"/>
      <c r="G106" s="108">
        <f t="shared" si="6"/>
        <v>500</v>
      </c>
      <c r="H106" s="108">
        <f t="shared" si="6"/>
        <v>0</v>
      </c>
    </row>
    <row r="107" spans="1:8">
      <c r="A107" s="76" t="s">
        <v>37</v>
      </c>
      <c r="B107" s="98">
        <v>934</v>
      </c>
      <c r="C107" s="96" t="s">
        <v>210</v>
      </c>
      <c r="D107" s="96" t="s">
        <v>218</v>
      </c>
      <c r="E107" s="96" t="s">
        <v>505</v>
      </c>
      <c r="F107" s="96" t="s">
        <v>404</v>
      </c>
      <c r="G107" s="109">
        <v>500</v>
      </c>
      <c r="H107" s="109">
        <v>0</v>
      </c>
    </row>
    <row r="108" spans="1:8" s="92" customFormat="1">
      <c r="A108" s="79" t="s">
        <v>225</v>
      </c>
      <c r="B108" s="105">
        <v>934</v>
      </c>
      <c r="C108" s="106" t="s">
        <v>210</v>
      </c>
      <c r="D108" s="106" t="s">
        <v>236</v>
      </c>
      <c r="E108" s="106"/>
      <c r="F108" s="106"/>
      <c r="G108" s="107">
        <f>G109</f>
        <v>30862.186300000001</v>
      </c>
      <c r="H108" s="107">
        <f>H109</f>
        <v>1570.5</v>
      </c>
    </row>
    <row r="109" spans="1:8" s="92" customFormat="1" ht="47.25">
      <c r="A109" s="625" t="s">
        <v>1236</v>
      </c>
      <c r="B109" s="859">
        <v>934</v>
      </c>
      <c r="C109" s="634" t="s">
        <v>210</v>
      </c>
      <c r="D109" s="634" t="s">
        <v>236</v>
      </c>
      <c r="E109" s="634" t="s">
        <v>1249</v>
      </c>
      <c r="F109" s="183"/>
      <c r="G109" s="185">
        <f>G110+G130</f>
        <v>30862.186300000001</v>
      </c>
      <c r="H109" s="185">
        <f>H110+H130</f>
        <v>1570.5</v>
      </c>
    </row>
    <row r="110" spans="1:8" s="92" customFormat="1" ht="31.5">
      <c r="A110" s="736" t="s">
        <v>1248</v>
      </c>
      <c r="B110" s="860">
        <v>934</v>
      </c>
      <c r="C110" s="737" t="s">
        <v>210</v>
      </c>
      <c r="D110" s="737" t="s">
        <v>236</v>
      </c>
      <c r="E110" s="737" t="s">
        <v>1266</v>
      </c>
      <c r="F110" s="180"/>
      <c r="G110" s="181">
        <f>G111+G116</f>
        <v>1736.5</v>
      </c>
      <c r="H110" s="181">
        <f>H111+H116</f>
        <v>1570.5</v>
      </c>
    </row>
    <row r="111" spans="1:8" s="92" customFormat="1" ht="47.25">
      <c r="A111" s="829" t="s">
        <v>1237</v>
      </c>
      <c r="B111" s="200" t="s">
        <v>198</v>
      </c>
      <c r="C111" s="200" t="s">
        <v>210</v>
      </c>
      <c r="D111" s="200" t="s">
        <v>236</v>
      </c>
      <c r="E111" s="200" t="s">
        <v>1242</v>
      </c>
      <c r="F111" s="200"/>
      <c r="G111" s="201">
        <f>G112+G114</f>
        <v>332</v>
      </c>
      <c r="H111" s="201">
        <f>H112+H114</f>
        <v>166</v>
      </c>
    </row>
    <row r="112" spans="1:8" s="92" customFormat="1" ht="47.25">
      <c r="A112" s="421" t="s">
        <v>794</v>
      </c>
      <c r="B112" s="95" t="s">
        <v>198</v>
      </c>
      <c r="C112" s="95" t="s">
        <v>210</v>
      </c>
      <c r="D112" s="95" t="s">
        <v>236</v>
      </c>
      <c r="E112" s="149" t="s">
        <v>1268</v>
      </c>
      <c r="F112" s="158"/>
      <c r="G112" s="121">
        <f>G113</f>
        <v>166</v>
      </c>
      <c r="H112" s="121">
        <f>H113</f>
        <v>166</v>
      </c>
    </row>
    <row r="113" spans="1:8" s="92" customFormat="1" ht="31.5">
      <c r="A113" s="152" t="s">
        <v>267</v>
      </c>
      <c r="B113" s="96" t="s">
        <v>198</v>
      </c>
      <c r="C113" s="96" t="s">
        <v>210</v>
      </c>
      <c r="D113" s="96" t="s">
        <v>236</v>
      </c>
      <c r="E113" s="149" t="s">
        <v>1268</v>
      </c>
      <c r="F113" s="96" t="s">
        <v>401</v>
      </c>
      <c r="G113" s="109">
        <v>166</v>
      </c>
      <c r="H113" s="109">
        <f>G113</f>
        <v>166</v>
      </c>
    </row>
    <row r="114" spans="1:8" s="92" customFormat="1" ht="47.25">
      <c r="A114" s="421" t="s">
        <v>669</v>
      </c>
      <c r="B114" s="158" t="s">
        <v>198</v>
      </c>
      <c r="C114" s="158" t="s">
        <v>210</v>
      </c>
      <c r="D114" s="158" t="s">
        <v>236</v>
      </c>
      <c r="E114" s="149" t="s">
        <v>1268</v>
      </c>
      <c r="F114" s="158"/>
      <c r="G114" s="121">
        <f>G115</f>
        <v>166</v>
      </c>
      <c r="H114" s="121">
        <f>H115</f>
        <v>0</v>
      </c>
    </row>
    <row r="115" spans="1:8" s="92" customFormat="1" ht="31.5">
      <c r="A115" s="152" t="s">
        <v>267</v>
      </c>
      <c r="B115" s="96" t="s">
        <v>198</v>
      </c>
      <c r="C115" s="96" t="s">
        <v>210</v>
      </c>
      <c r="D115" s="96" t="s">
        <v>236</v>
      </c>
      <c r="E115" s="149" t="s">
        <v>1268</v>
      </c>
      <c r="F115" s="96" t="s">
        <v>401</v>
      </c>
      <c r="G115" s="109">
        <v>166</v>
      </c>
      <c r="H115" s="109">
        <v>0</v>
      </c>
    </row>
    <row r="116" spans="1:8" s="92" customFormat="1" ht="47.25">
      <c r="A116" s="888" t="s">
        <v>1245</v>
      </c>
      <c r="B116" s="204" t="s">
        <v>198</v>
      </c>
      <c r="C116" s="204" t="s">
        <v>210</v>
      </c>
      <c r="D116" s="204" t="s">
        <v>236</v>
      </c>
      <c r="E116" s="366" t="s">
        <v>1244</v>
      </c>
      <c r="F116" s="204"/>
      <c r="G116" s="199">
        <f>G117+G121+G126</f>
        <v>1404.5</v>
      </c>
      <c r="H116" s="199">
        <f>H117+H121+H126</f>
        <v>1404.5</v>
      </c>
    </row>
    <row r="117" spans="1:8" s="92" customFormat="1" ht="31.5">
      <c r="A117" s="77" t="s">
        <v>421</v>
      </c>
      <c r="B117" s="95">
        <v>934</v>
      </c>
      <c r="C117" s="95" t="s">
        <v>210</v>
      </c>
      <c r="D117" s="95" t="s">
        <v>236</v>
      </c>
      <c r="E117" s="96" t="s">
        <v>1251</v>
      </c>
      <c r="F117" s="95"/>
      <c r="G117" s="108">
        <f>G118+G119+G120</f>
        <v>230.5</v>
      </c>
      <c r="H117" s="108">
        <f>H118+H119+H120</f>
        <v>230.5</v>
      </c>
    </row>
    <row r="118" spans="1:8" s="92" customFormat="1">
      <c r="A118" s="76" t="s">
        <v>415</v>
      </c>
      <c r="B118" s="96">
        <v>934</v>
      </c>
      <c r="C118" s="96" t="s">
        <v>210</v>
      </c>
      <c r="D118" s="96" t="s">
        <v>236</v>
      </c>
      <c r="E118" s="96" t="s">
        <v>1251</v>
      </c>
      <c r="F118" s="96" t="s">
        <v>400</v>
      </c>
      <c r="G118" s="109">
        <v>143.85561000000001</v>
      </c>
      <c r="H118" s="109">
        <f>G118</f>
        <v>143.85561000000001</v>
      </c>
    </row>
    <row r="119" spans="1:8" s="92" customFormat="1" ht="47.25">
      <c r="A119" s="195" t="s">
        <v>416</v>
      </c>
      <c r="B119" s="96">
        <v>934</v>
      </c>
      <c r="C119" s="96" t="s">
        <v>210</v>
      </c>
      <c r="D119" s="96" t="s">
        <v>236</v>
      </c>
      <c r="E119" s="96" t="s">
        <v>1251</v>
      </c>
      <c r="F119" s="96" t="s">
        <v>417</v>
      </c>
      <c r="G119" s="109">
        <v>43.444389999999999</v>
      </c>
      <c r="H119" s="109">
        <f>G119</f>
        <v>43.444389999999999</v>
      </c>
    </row>
    <row r="120" spans="1:8" s="92" customFormat="1" ht="31.5">
      <c r="A120" s="152" t="s">
        <v>267</v>
      </c>
      <c r="B120" s="96">
        <v>934</v>
      </c>
      <c r="C120" s="96" t="s">
        <v>210</v>
      </c>
      <c r="D120" s="96" t="s">
        <v>236</v>
      </c>
      <c r="E120" s="96" t="s">
        <v>1251</v>
      </c>
      <c r="F120" s="96" t="s">
        <v>401</v>
      </c>
      <c r="G120" s="109">
        <v>43.2</v>
      </c>
      <c r="H120" s="109">
        <f>G120</f>
        <v>43.2</v>
      </c>
    </row>
    <row r="121" spans="1:8" s="92" customFormat="1" ht="47.25">
      <c r="A121" s="77" t="s">
        <v>50</v>
      </c>
      <c r="B121" s="95">
        <v>934</v>
      </c>
      <c r="C121" s="95" t="s">
        <v>210</v>
      </c>
      <c r="D121" s="95" t="s">
        <v>236</v>
      </c>
      <c r="E121" s="96" t="s">
        <v>1252</v>
      </c>
      <c r="F121" s="95"/>
      <c r="G121" s="108">
        <f>G122+G123+G124+G125</f>
        <v>894</v>
      </c>
      <c r="H121" s="108">
        <f>H122+H123+H124+H125</f>
        <v>894</v>
      </c>
    </row>
    <row r="122" spans="1:8" s="92" customFormat="1">
      <c r="A122" s="76" t="s">
        <v>415</v>
      </c>
      <c r="B122" s="96">
        <v>934</v>
      </c>
      <c r="C122" s="96" t="s">
        <v>210</v>
      </c>
      <c r="D122" s="96" t="s">
        <v>236</v>
      </c>
      <c r="E122" s="96" t="s">
        <v>1252</v>
      </c>
      <c r="F122" s="96" t="s">
        <v>400</v>
      </c>
      <c r="G122" s="109">
        <v>615.66840000000002</v>
      </c>
      <c r="H122" s="109">
        <f>G122</f>
        <v>615.66840000000002</v>
      </c>
    </row>
    <row r="123" spans="1:8" s="92" customFormat="1" ht="31.5">
      <c r="A123" s="76" t="s">
        <v>10</v>
      </c>
      <c r="B123" s="96">
        <v>934</v>
      </c>
      <c r="C123" s="96" t="s">
        <v>210</v>
      </c>
      <c r="D123" s="96" t="s">
        <v>236</v>
      </c>
      <c r="E123" s="96" t="s">
        <v>1252</v>
      </c>
      <c r="F123" s="96" t="s">
        <v>405</v>
      </c>
      <c r="G123" s="109">
        <v>8.23</v>
      </c>
      <c r="H123" s="109">
        <f>G123</f>
        <v>8.23</v>
      </c>
    </row>
    <row r="124" spans="1:8" s="92" customFormat="1" ht="47.25">
      <c r="A124" s="195" t="s">
        <v>416</v>
      </c>
      <c r="B124" s="96">
        <v>934</v>
      </c>
      <c r="C124" s="96" t="s">
        <v>210</v>
      </c>
      <c r="D124" s="96" t="s">
        <v>236</v>
      </c>
      <c r="E124" s="96" t="s">
        <v>1252</v>
      </c>
      <c r="F124" s="96" t="s">
        <v>417</v>
      </c>
      <c r="G124" s="109">
        <v>185.9316</v>
      </c>
      <c r="H124" s="109">
        <f>G124</f>
        <v>185.9316</v>
      </c>
    </row>
    <row r="125" spans="1:8" s="92" customFormat="1" ht="31.5">
      <c r="A125" s="152" t="s">
        <v>267</v>
      </c>
      <c r="B125" s="96">
        <v>934</v>
      </c>
      <c r="C125" s="96" t="s">
        <v>210</v>
      </c>
      <c r="D125" s="96" t="s">
        <v>236</v>
      </c>
      <c r="E125" s="96" t="s">
        <v>1252</v>
      </c>
      <c r="F125" s="96" t="s">
        <v>401</v>
      </c>
      <c r="G125" s="109">
        <v>84.17</v>
      </c>
      <c r="H125" s="109">
        <f>G125</f>
        <v>84.17</v>
      </c>
    </row>
    <row r="126" spans="1:8" s="92" customFormat="1" ht="31.5">
      <c r="A126" s="157" t="s">
        <v>54</v>
      </c>
      <c r="B126" s="158">
        <v>934</v>
      </c>
      <c r="C126" s="158" t="s">
        <v>210</v>
      </c>
      <c r="D126" s="158" t="s">
        <v>236</v>
      </c>
      <c r="E126" s="158" t="s">
        <v>1269</v>
      </c>
      <c r="F126" s="158"/>
      <c r="G126" s="121">
        <f>G127+G128+G129</f>
        <v>280</v>
      </c>
      <c r="H126" s="121">
        <f>H127+H128+H129</f>
        <v>280</v>
      </c>
    </row>
    <row r="127" spans="1:8" s="92" customFormat="1">
      <c r="A127" s="76" t="s">
        <v>415</v>
      </c>
      <c r="B127" s="96">
        <v>934</v>
      </c>
      <c r="C127" s="96" t="s">
        <v>210</v>
      </c>
      <c r="D127" s="96" t="s">
        <v>236</v>
      </c>
      <c r="E127" s="158" t="s">
        <v>1269</v>
      </c>
      <c r="F127" s="96" t="s">
        <v>400</v>
      </c>
      <c r="G127" s="109">
        <v>179.56238999999999</v>
      </c>
      <c r="H127" s="109">
        <f>G127</f>
        <v>179.56238999999999</v>
      </c>
    </row>
    <row r="128" spans="1:8" s="92" customFormat="1" ht="47.25">
      <c r="A128" s="195" t="s">
        <v>416</v>
      </c>
      <c r="B128" s="96">
        <v>934</v>
      </c>
      <c r="C128" s="96" t="s">
        <v>210</v>
      </c>
      <c r="D128" s="96" t="s">
        <v>236</v>
      </c>
      <c r="E128" s="158" t="s">
        <v>1269</v>
      </c>
      <c r="F128" s="96" t="s">
        <v>417</v>
      </c>
      <c r="G128" s="109">
        <v>54.227609999999999</v>
      </c>
      <c r="H128" s="109">
        <f>G128</f>
        <v>54.227609999999999</v>
      </c>
    </row>
    <row r="129" spans="1:8" s="92" customFormat="1" ht="31.5">
      <c r="A129" s="152" t="s">
        <v>267</v>
      </c>
      <c r="B129" s="96">
        <v>934</v>
      </c>
      <c r="C129" s="96" t="s">
        <v>210</v>
      </c>
      <c r="D129" s="96" t="s">
        <v>236</v>
      </c>
      <c r="E129" s="158" t="s">
        <v>1269</v>
      </c>
      <c r="F129" s="96" t="s">
        <v>401</v>
      </c>
      <c r="G129" s="109">
        <v>46.21</v>
      </c>
      <c r="H129" s="109">
        <f>G129</f>
        <v>46.21</v>
      </c>
    </row>
    <row r="130" spans="1:8" s="92" customFormat="1" ht="31.5">
      <c r="A130" s="188" t="s">
        <v>1238</v>
      </c>
      <c r="B130" s="189">
        <v>934</v>
      </c>
      <c r="C130" s="180" t="s">
        <v>210</v>
      </c>
      <c r="D130" s="180" t="s">
        <v>236</v>
      </c>
      <c r="E130" s="186" t="s">
        <v>1264</v>
      </c>
      <c r="F130" s="180"/>
      <c r="G130" s="181">
        <f>G131</f>
        <v>29125.686300000001</v>
      </c>
      <c r="H130" s="181">
        <f>H131</f>
        <v>0</v>
      </c>
    </row>
    <row r="131" spans="1:8" s="92" customFormat="1" ht="31.5">
      <c r="A131" s="221" t="s">
        <v>932</v>
      </c>
      <c r="B131" s="340">
        <v>934</v>
      </c>
      <c r="C131" s="200" t="s">
        <v>210</v>
      </c>
      <c r="D131" s="200" t="s">
        <v>236</v>
      </c>
      <c r="E131" s="204" t="s">
        <v>1265</v>
      </c>
      <c r="F131" s="200"/>
      <c r="G131" s="201">
        <f>G132</f>
        <v>29125.686300000001</v>
      </c>
      <c r="H131" s="199">
        <f>H132</f>
        <v>0</v>
      </c>
    </row>
    <row r="132" spans="1:8" s="92" customFormat="1" ht="47.25">
      <c r="A132" s="76" t="s">
        <v>262</v>
      </c>
      <c r="B132" s="153">
        <v>934</v>
      </c>
      <c r="C132" s="96" t="s">
        <v>210</v>
      </c>
      <c r="D132" s="96" t="s">
        <v>236</v>
      </c>
      <c r="E132" s="204" t="s">
        <v>1265</v>
      </c>
      <c r="F132" s="96" t="s">
        <v>408</v>
      </c>
      <c r="G132" s="109">
        <f>5885.513+50+130.311+48.41249+2217.87235+20793.57746</f>
        <v>29125.686300000001</v>
      </c>
      <c r="H132" s="109">
        <v>0</v>
      </c>
    </row>
    <row r="133" spans="1:8" s="92" customFormat="1" ht="31.5">
      <c r="A133" s="80" t="s">
        <v>229</v>
      </c>
      <c r="B133" s="102">
        <v>934</v>
      </c>
      <c r="C133" s="103" t="s">
        <v>213</v>
      </c>
      <c r="D133" s="103"/>
      <c r="E133" s="103"/>
      <c r="F133" s="103"/>
      <c r="G133" s="104">
        <f>G134</f>
        <v>2894.5</v>
      </c>
      <c r="H133" s="104">
        <f>H134</f>
        <v>0</v>
      </c>
    </row>
    <row r="134" spans="1:8" s="91" customFormat="1" ht="31.5">
      <c r="A134" s="79" t="s">
        <v>230</v>
      </c>
      <c r="B134" s="105">
        <v>934</v>
      </c>
      <c r="C134" s="106" t="s">
        <v>213</v>
      </c>
      <c r="D134" s="106" t="s">
        <v>214</v>
      </c>
      <c r="E134" s="106"/>
      <c r="F134" s="106"/>
      <c r="G134" s="107">
        <f>G135+G138</f>
        <v>2894.5</v>
      </c>
      <c r="H134" s="107">
        <f>H135+H138</f>
        <v>0</v>
      </c>
    </row>
    <row r="135" spans="1:8" s="91" customFormat="1" ht="33" customHeight="1">
      <c r="A135" s="173" t="s">
        <v>930</v>
      </c>
      <c r="B135" s="174">
        <v>934</v>
      </c>
      <c r="C135" s="175" t="s">
        <v>213</v>
      </c>
      <c r="D135" s="175" t="s">
        <v>214</v>
      </c>
      <c r="E135" s="175" t="s">
        <v>847</v>
      </c>
      <c r="F135" s="175"/>
      <c r="G135" s="177">
        <f t="shared" ref="G135:H136" si="7">G136</f>
        <v>2794.5</v>
      </c>
      <c r="H135" s="177">
        <f t="shared" si="7"/>
        <v>0</v>
      </c>
    </row>
    <row r="136" spans="1:8" s="91" customFormat="1" ht="55.5" customHeight="1">
      <c r="A136" s="173" t="s">
        <v>870</v>
      </c>
      <c r="B136" s="174">
        <v>934</v>
      </c>
      <c r="C136" s="175" t="s">
        <v>213</v>
      </c>
      <c r="D136" s="175" t="s">
        <v>214</v>
      </c>
      <c r="E136" s="175" t="s">
        <v>508</v>
      </c>
      <c r="F136" s="175"/>
      <c r="G136" s="177">
        <f t="shared" si="7"/>
        <v>2794.5</v>
      </c>
      <c r="H136" s="177">
        <f t="shared" si="7"/>
        <v>0</v>
      </c>
    </row>
    <row r="137" spans="1:8" ht="31.5">
      <c r="A137" s="152" t="s">
        <v>267</v>
      </c>
      <c r="B137" s="98">
        <v>934</v>
      </c>
      <c r="C137" s="95" t="s">
        <v>213</v>
      </c>
      <c r="D137" s="95" t="s">
        <v>214</v>
      </c>
      <c r="E137" s="149" t="s">
        <v>508</v>
      </c>
      <c r="F137" s="96" t="s">
        <v>401</v>
      </c>
      <c r="G137" s="109">
        <f>2644.5+150</f>
        <v>2794.5</v>
      </c>
      <c r="H137" s="109">
        <v>0</v>
      </c>
    </row>
    <row r="138" spans="1:8" ht="29.25" customHeight="1">
      <c r="A138" s="172" t="s">
        <v>430</v>
      </c>
      <c r="B138" s="98">
        <v>934</v>
      </c>
      <c r="C138" s="95" t="s">
        <v>213</v>
      </c>
      <c r="D138" s="95" t="s">
        <v>214</v>
      </c>
      <c r="E138" s="96" t="s">
        <v>509</v>
      </c>
      <c r="F138" s="223"/>
      <c r="G138" s="232">
        <f>G139</f>
        <v>100</v>
      </c>
      <c r="H138" s="109">
        <v>0</v>
      </c>
    </row>
    <row r="139" spans="1:8" ht="31.5">
      <c r="A139" s="152" t="s">
        <v>267</v>
      </c>
      <c r="B139" s="98">
        <v>934</v>
      </c>
      <c r="C139" s="95" t="s">
        <v>213</v>
      </c>
      <c r="D139" s="95" t="s">
        <v>214</v>
      </c>
      <c r="E139" s="96" t="s">
        <v>509</v>
      </c>
      <c r="F139" s="96" t="s">
        <v>401</v>
      </c>
      <c r="G139" s="109">
        <v>100</v>
      </c>
      <c r="H139" s="109">
        <v>0</v>
      </c>
    </row>
    <row r="140" spans="1:8" s="92" customFormat="1">
      <c r="A140" s="80" t="s">
        <v>411</v>
      </c>
      <c r="B140" s="102">
        <v>934</v>
      </c>
      <c r="C140" s="103" t="s">
        <v>219</v>
      </c>
      <c r="D140" s="103"/>
      <c r="E140" s="103"/>
      <c r="F140" s="103"/>
      <c r="G140" s="104">
        <f>G141+G163+G167</f>
        <v>6318</v>
      </c>
      <c r="H140" s="104">
        <f>H141+H163+H167</f>
        <v>2767.9999999999995</v>
      </c>
    </row>
    <row r="141" spans="1:8" s="91" customFormat="1">
      <c r="A141" s="79" t="s">
        <v>227</v>
      </c>
      <c r="B141" s="106" t="s">
        <v>198</v>
      </c>
      <c r="C141" s="106" t="s">
        <v>219</v>
      </c>
      <c r="D141" s="106" t="s">
        <v>220</v>
      </c>
      <c r="E141" s="106"/>
      <c r="F141" s="106"/>
      <c r="G141" s="107">
        <f>G142+G154</f>
        <v>3395</v>
      </c>
      <c r="H141" s="107">
        <f>H142+H154</f>
        <v>2194.9999999999995</v>
      </c>
    </row>
    <row r="142" spans="1:8" s="91" customFormat="1" ht="47.25">
      <c r="A142" s="614" t="s">
        <v>779</v>
      </c>
      <c r="B142" s="191">
        <v>934</v>
      </c>
      <c r="C142" s="184" t="s">
        <v>219</v>
      </c>
      <c r="D142" s="184" t="s">
        <v>220</v>
      </c>
      <c r="E142" s="184" t="s">
        <v>847</v>
      </c>
      <c r="F142" s="183"/>
      <c r="G142" s="193">
        <f>G143</f>
        <v>1873.2999999999997</v>
      </c>
      <c r="H142" s="193">
        <f>H143</f>
        <v>1873.2999999999997</v>
      </c>
    </row>
    <row r="143" spans="1:8" s="91" customFormat="1" ht="25.5">
      <c r="A143" s="828" t="s">
        <v>1028</v>
      </c>
      <c r="B143" s="191">
        <v>934</v>
      </c>
      <c r="C143" s="184" t="s">
        <v>219</v>
      </c>
      <c r="D143" s="184" t="s">
        <v>220</v>
      </c>
      <c r="E143" s="184" t="s">
        <v>1218</v>
      </c>
      <c r="F143" s="183"/>
      <c r="G143" s="193">
        <f>G144+G146+G149+G151</f>
        <v>1873.2999999999997</v>
      </c>
      <c r="H143" s="193">
        <f>H144+H146+H149+H151</f>
        <v>1873.2999999999997</v>
      </c>
    </row>
    <row r="144" spans="1:8" ht="50.25" customHeight="1">
      <c r="A144" s="74" t="s">
        <v>536</v>
      </c>
      <c r="B144" s="97">
        <v>934</v>
      </c>
      <c r="C144" s="95" t="s">
        <v>219</v>
      </c>
      <c r="D144" s="95" t="s">
        <v>220</v>
      </c>
      <c r="E144" s="158" t="s">
        <v>1200</v>
      </c>
      <c r="F144" s="111"/>
      <c r="G144" s="108">
        <f>G145</f>
        <v>1674.6</v>
      </c>
      <c r="H144" s="108">
        <f>H145</f>
        <v>1674.6</v>
      </c>
    </row>
    <row r="145" spans="1:8" ht="41.25" customHeight="1">
      <c r="A145" s="152" t="s">
        <v>267</v>
      </c>
      <c r="B145" s="98">
        <v>934</v>
      </c>
      <c r="C145" s="96" t="s">
        <v>219</v>
      </c>
      <c r="D145" s="96" t="s">
        <v>220</v>
      </c>
      <c r="E145" s="149" t="s">
        <v>1200</v>
      </c>
      <c r="F145" s="110">
        <v>244</v>
      </c>
      <c r="G145" s="109">
        <v>1674.6</v>
      </c>
      <c r="H145" s="109">
        <f>G145</f>
        <v>1674.6</v>
      </c>
    </row>
    <row r="146" spans="1:8" ht="47.25" customHeight="1">
      <c r="A146" s="74" t="s">
        <v>544</v>
      </c>
      <c r="B146" s="97">
        <v>934</v>
      </c>
      <c r="C146" s="95" t="s">
        <v>219</v>
      </c>
      <c r="D146" s="95" t="s">
        <v>220</v>
      </c>
      <c r="E146" s="149" t="s">
        <v>1201</v>
      </c>
      <c r="F146" s="111"/>
      <c r="G146" s="108">
        <f>G147+G148</f>
        <v>25.1</v>
      </c>
      <c r="H146" s="108">
        <f>H147+H148</f>
        <v>25.1</v>
      </c>
    </row>
    <row r="147" spans="1:8">
      <c r="A147" s="76" t="s">
        <v>415</v>
      </c>
      <c r="B147" s="96">
        <v>934</v>
      </c>
      <c r="C147" s="96" t="s">
        <v>219</v>
      </c>
      <c r="D147" s="96" t="s">
        <v>220</v>
      </c>
      <c r="E147" s="149" t="s">
        <v>1201</v>
      </c>
      <c r="F147" s="96" t="s">
        <v>400</v>
      </c>
      <c r="G147" s="109">
        <v>19.278030000000001</v>
      </c>
      <c r="H147" s="109">
        <f>G147</f>
        <v>19.278030000000001</v>
      </c>
    </row>
    <row r="148" spans="1:8" ht="47.25">
      <c r="A148" s="195" t="s">
        <v>416</v>
      </c>
      <c r="B148" s="96">
        <v>934</v>
      </c>
      <c r="C148" s="96" t="s">
        <v>219</v>
      </c>
      <c r="D148" s="96" t="s">
        <v>220</v>
      </c>
      <c r="E148" s="149" t="s">
        <v>1202</v>
      </c>
      <c r="F148" s="96" t="s">
        <v>417</v>
      </c>
      <c r="G148" s="109">
        <v>5.8219700000000003</v>
      </c>
      <c r="H148" s="109">
        <f>G148</f>
        <v>5.8219700000000003</v>
      </c>
    </row>
    <row r="149" spans="1:8" ht="47.25">
      <c r="A149" s="239" t="s">
        <v>1082</v>
      </c>
      <c r="B149" s="153">
        <v>934</v>
      </c>
      <c r="C149" s="149" t="s">
        <v>219</v>
      </c>
      <c r="D149" s="149" t="s">
        <v>220</v>
      </c>
      <c r="E149" s="149" t="s">
        <v>1203</v>
      </c>
      <c r="F149" s="153"/>
      <c r="G149" s="148">
        <f>G150</f>
        <v>151</v>
      </c>
      <c r="H149" s="148">
        <f>H150</f>
        <v>151</v>
      </c>
    </row>
    <row r="150" spans="1:8" ht="31.5">
      <c r="A150" s="152" t="s">
        <v>267</v>
      </c>
      <c r="B150" s="153">
        <v>934</v>
      </c>
      <c r="C150" s="149" t="s">
        <v>219</v>
      </c>
      <c r="D150" s="149" t="s">
        <v>220</v>
      </c>
      <c r="E150" s="149" t="s">
        <v>1203</v>
      </c>
      <c r="F150" s="153">
        <v>244</v>
      </c>
      <c r="G150" s="148">
        <v>151</v>
      </c>
      <c r="H150" s="148">
        <f>G150</f>
        <v>151</v>
      </c>
    </row>
    <row r="151" spans="1:8" ht="47.25">
      <c r="A151" s="239" t="s">
        <v>1077</v>
      </c>
      <c r="B151" s="153">
        <v>934</v>
      </c>
      <c r="C151" s="149" t="s">
        <v>219</v>
      </c>
      <c r="D151" s="149" t="s">
        <v>220</v>
      </c>
      <c r="E151" s="149" t="s">
        <v>1204</v>
      </c>
      <c r="F151" s="153"/>
      <c r="G151" s="148">
        <f>G152+G153</f>
        <v>22.6</v>
      </c>
      <c r="H151" s="148">
        <f>H152+H153</f>
        <v>22.6</v>
      </c>
    </row>
    <row r="152" spans="1:8">
      <c r="A152" s="76" t="s">
        <v>415</v>
      </c>
      <c r="B152" s="153">
        <v>934</v>
      </c>
      <c r="C152" s="149" t="s">
        <v>219</v>
      </c>
      <c r="D152" s="149" t="s">
        <v>220</v>
      </c>
      <c r="E152" s="149" t="s">
        <v>1204</v>
      </c>
      <c r="F152" s="153">
        <v>121</v>
      </c>
      <c r="G152" s="148">
        <v>17.35791</v>
      </c>
      <c r="H152" s="148">
        <f>G152</f>
        <v>17.35791</v>
      </c>
    </row>
    <row r="153" spans="1:8" ht="47.25">
      <c r="A153" s="195" t="s">
        <v>416</v>
      </c>
      <c r="B153" s="153">
        <v>934</v>
      </c>
      <c r="C153" s="149" t="s">
        <v>219</v>
      </c>
      <c r="D153" s="149" t="s">
        <v>220</v>
      </c>
      <c r="E153" s="149" t="s">
        <v>1204</v>
      </c>
      <c r="F153" s="153">
        <v>129</v>
      </c>
      <c r="G153" s="148">
        <v>5.2420900000000001</v>
      </c>
      <c r="H153" s="148">
        <f>G153</f>
        <v>5.2420900000000001</v>
      </c>
    </row>
    <row r="154" spans="1:8" s="91" customFormat="1" ht="49.5" customHeight="1">
      <c r="A154" s="187" t="s">
        <v>734</v>
      </c>
      <c r="B154" s="174">
        <v>934</v>
      </c>
      <c r="C154" s="175" t="s">
        <v>219</v>
      </c>
      <c r="D154" s="175" t="s">
        <v>220</v>
      </c>
      <c r="E154" s="175" t="s">
        <v>551</v>
      </c>
      <c r="F154" s="174"/>
      <c r="G154" s="177">
        <f t="shared" ref="G154:H154" si="8">G155</f>
        <v>1521.7</v>
      </c>
      <c r="H154" s="177">
        <f t="shared" si="8"/>
        <v>321.7</v>
      </c>
    </row>
    <row r="155" spans="1:8" s="91" customFormat="1" ht="37.5" customHeight="1">
      <c r="A155" s="187" t="s">
        <v>871</v>
      </c>
      <c r="B155" s="174">
        <v>934</v>
      </c>
      <c r="C155" s="175" t="s">
        <v>219</v>
      </c>
      <c r="D155" s="175" t="s">
        <v>220</v>
      </c>
      <c r="E155" s="175" t="s">
        <v>848</v>
      </c>
      <c r="F155" s="174"/>
      <c r="G155" s="177">
        <f>G157+G156+G158+G160</f>
        <v>1521.7</v>
      </c>
      <c r="H155" s="177">
        <f>H157+H156+H158+H160</f>
        <v>321.7</v>
      </c>
    </row>
    <row r="156" spans="1:8" s="91" customFormat="1" ht="37.5" customHeight="1">
      <c r="A156" s="152" t="s">
        <v>267</v>
      </c>
      <c r="B156" s="98">
        <v>934</v>
      </c>
      <c r="C156" s="96" t="s">
        <v>219</v>
      </c>
      <c r="D156" s="96" t="s">
        <v>220</v>
      </c>
      <c r="E156" s="149" t="s">
        <v>510</v>
      </c>
      <c r="F156" s="190">
        <v>244</v>
      </c>
      <c r="G156" s="121">
        <v>200</v>
      </c>
      <c r="H156" s="121">
        <v>0</v>
      </c>
    </row>
    <row r="157" spans="1:8" s="91" customFormat="1" ht="65.25" customHeight="1">
      <c r="A157" s="2" t="s">
        <v>1062</v>
      </c>
      <c r="B157" s="822">
        <v>934</v>
      </c>
      <c r="C157" s="823" t="s">
        <v>219</v>
      </c>
      <c r="D157" s="823" t="s">
        <v>220</v>
      </c>
      <c r="E157" s="824" t="s">
        <v>510</v>
      </c>
      <c r="F157" s="823" t="s">
        <v>1061</v>
      </c>
      <c r="G157" s="825">
        <v>1000</v>
      </c>
      <c r="H157" s="825">
        <v>0</v>
      </c>
    </row>
    <row r="158" spans="1:8" s="91" customFormat="1" ht="48.75" customHeight="1">
      <c r="A158" s="77" t="s">
        <v>362</v>
      </c>
      <c r="B158" s="97">
        <v>934</v>
      </c>
      <c r="C158" s="95" t="s">
        <v>219</v>
      </c>
      <c r="D158" s="95" t="s">
        <v>220</v>
      </c>
      <c r="E158" s="95" t="s">
        <v>1205</v>
      </c>
      <c r="F158" s="97"/>
      <c r="G158" s="108">
        <f>G159</f>
        <v>320</v>
      </c>
      <c r="H158" s="464">
        <f>H159</f>
        <v>320</v>
      </c>
    </row>
    <row r="159" spans="1:8" s="91" customFormat="1" ht="48.75" customHeight="1">
      <c r="A159" s="76" t="s">
        <v>722</v>
      </c>
      <c r="B159" s="98">
        <v>934</v>
      </c>
      <c r="C159" s="96" t="s">
        <v>219</v>
      </c>
      <c r="D159" s="96" t="s">
        <v>220</v>
      </c>
      <c r="E159" s="95" t="s">
        <v>1205</v>
      </c>
      <c r="F159" s="98">
        <v>812</v>
      </c>
      <c r="G159" s="109">
        <v>320</v>
      </c>
      <c r="H159" s="109">
        <f>G159</f>
        <v>320</v>
      </c>
    </row>
    <row r="160" spans="1:8" s="91" customFormat="1" ht="48.75" customHeight="1">
      <c r="A160" s="157" t="s">
        <v>543</v>
      </c>
      <c r="B160" s="190">
        <v>934</v>
      </c>
      <c r="C160" s="158" t="s">
        <v>219</v>
      </c>
      <c r="D160" s="158" t="s">
        <v>220</v>
      </c>
      <c r="E160" s="158" t="s">
        <v>1206</v>
      </c>
      <c r="F160" s="190"/>
      <c r="G160" s="121">
        <f>G161+G162</f>
        <v>1.7</v>
      </c>
      <c r="H160" s="121">
        <f>H161+H162</f>
        <v>1.7</v>
      </c>
    </row>
    <row r="161" spans="1:8" s="91" customFormat="1" ht="48.75" customHeight="1">
      <c r="A161" s="169" t="s">
        <v>415</v>
      </c>
      <c r="B161" s="153">
        <v>934</v>
      </c>
      <c r="C161" s="149" t="s">
        <v>219</v>
      </c>
      <c r="D161" s="149" t="s">
        <v>220</v>
      </c>
      <c r="E161" s="158" t="s">
        <v>1206</v>
      </c>
      <c r="F161" s="153">
        <v>121</v>
      </c>
      <c r="G161" s="148">
        <v>1.30568</v>
      </c>
      <c r="H161" s="148">
        <f>G161</f>
        <v>1.30568</v>
      </c>
    </row>
    <row r="162" spans="1:8" s="91" customFormat="1" ht="48.75" customHeight="1">
      <c r="A162" s="239" t="s">
        <v>416</v>
      </c>
      <c r="B162" s="153">
        <v>934</v>
      </c>
      <c r="C162" s="149" t="s">
        <v>219</v>
      </c>
      <c r="D162" s="149" t="s">
        <v>220</v>
      </c>
      <c r="E162" s="158" t="s">
        <v>1206</v>
      </c>
      <c r="F162" s="153">
        <v>129</v>
      </c>
      <c r="G162" s="148">
        <v>0.39432</v>
      </c>
      <c r="H162" s="148">
        <f>G162</f>
        <v>0.39432</v>
      </c>
    </row>
    <row r="163" spans="1:8" s="91" customFormat="1" ht="20.25" customHeight="1">
      <c r="A163" s="575" t="s">
        <v>264</v>
      </c>
      <c r="B163" s="102">
        <v>934</v>
      </c>
      <c r="C163" s="103" t="s">
        <v>219</v>
      </c>
      <c r="D163" s="103" t="s">
        <v>214</v>
      </c>
      <c r="E163" s="336"/>
      <c r="F163" s="103"/>
      <c r="G163" s="104">
        <f>G164</f>
        <v>1000</v>
      </c>
      <c r="H163" s="104">
        <f t="shared" ref="G163:H165" si="9">H164</f>
        <v>0</v>
      </c>
    </row>
    <row r="164" spans="1:8" s="91" customFormat="1" ht="31.5">
      <c r="A164" s="614" t="s">
        <v>756</v>
      </c>
      <c r="B164" s="191">
        <v>934</v>
      </c>
      <c r="C164" s="184" t="s">
        <v>219</v>
      </c>
      <c r="D164" s="184" t="s">
        <v>214</v>
      </c>
      <c r="E164" s="631" t="s">
        <v>849</v>
      </c>
      <c r="F164" s="175"/>
      <c r="G164" s="193">
        <f t="shared" si="9"/>
        <v>1000</v>
      </c>
      <c r="H164" s="193">
        <f t="shared" si="9"/>
        <v>0</v>
      </c>
    </row>
    <row r="165" spans="1:8" s="91" customFormat="1" ht="78.75">
      <c r="A165" s="192" t="s">
        <v>873</v>
      </c>
      <c r="B165" s="191">
        <v>934</v>
      </c>
      <c r="C165" s="184" t="s">
        <v>219</v>
      </c>
      <c r="D165" s="184" t="s">
        <v>214</v>
      </c>
      <c r="E165" s="631" t="s">
        <v>849</v>
      </c>
      <c r="F165" s="175"/>
      <c r="G165" s="193">
        <f t="shared" si="9"/>
        <v>1000</v>
      </c>
      <c r="H165" s="193">
        <f t="shared" si="9"/>
        <v>0</v>
      </c>
    </row>
    <row r="166" spans="1:8" s="91" customFormat="1">
      <c r="A166" s="76" t="s">
        <v>263</v>
      </c>
      <c r="B166" s="98">
        <v>934</v>
      </c>
      <c r="C166" s="96" t="s">
        <v>219</v>
      </c>
      <c r="D166" s="96" t="s">
        <v>214</v>
      </c>
      <c r="E166" s="626" t="s">
        <v>757</v>
      </c>
      <c r="F166" s="96" t="s">
        <v>260</v>
      </c>
      <c r="G166" s="109">
        <v>1000</v>
      </c>
      <c r="H166" s="109">
        <v>0</v>
      </c>
    </row>
    <row r="167" spans="1:8" s="91" customFormat="1" ht="45.75" customHeight="1">
      <c r="A167" s="79" t="s">
        <v>52</v>
      </c>
      <c r="B167" s="106">
        <v>934</v>
      </c>
      <c r="C167" s="106" t="s">
        <v>219</v>
      </c>
      <c r="D167" s="106" t="s">
        <v>217</v>
      </c>
      <c r="E167" s="106"/>
      <c r="F167" s="106"/>
      <c r="G167" s="107">
        <f>G168+G171+G182</f>
        <v>1923</v>
      </c>
      <c r="H167" s="107">
        <f>H168+H172+H182</f>
        <v>573</v>
      </c>
    </row>
    <row r="168" spans="1:8" s="91" customFormat="1" ht="31.5">
      <c r="A168" s="173" t="s">
        <v>1212</v>
      </c>
      <c r="B168" s="175" t="s">
        <v>198</v>
      </c>
      <c r="C168" s="175" t="s">
        <v>219</v>
      </c>
      <c r="D168" s="175" t="s">
        <v>217</v>
      </c>
      <c r="E168" s="175" t="s">
        <v>850</v>
      </c>
      <c r="F168" s="175"/>
      <c r="G168" s="177">
        <f t="shared" ref="G168:H169" si="10">G169</f>
        <v>500</v>
      </c>
      <c r="H168" s="177">
        <f t="shared" si="10"/>
        <v>0</v>
      </c>
    </row>
    <row r="169" spans="1:8" s="91" customFormat="1">
      <c r="A169" s="173" t="s">
        <v>872</v>
      </c>
      <c r="B169" s="175" t="s">
        <v>198</v>
      </c>
      <c r="C169" s="175" t="s">
        <v>219</v>
      </c>
      <c r="D169" s="175" t="s">
        <v>217</v>
      </c>
      <c r="E169" s="175" t="s">
        <v>850</v>
      </c>
      <c r="F169" s="175"/>
      <c r="G169" s="177">
        <f t="shared" si="10"/>
        <v>500</v>
      </c>
      <c r="H169" s="177">
        <f t="shared" si="10"/>
        <v>0</v>
      </c>
    </row>
    <row r="170" spans="1:8" s="91" customFormat="1" ht="31.5">
      <c r="A170" s="550" t="s">
        <v>267</v>
      </c>
      <c r="B170" s="96" t="s">
        <v>198</v>
      </c>
      <c r="C170" s="96" t="s">
        <v>219</v>
      </c>
      <c r="D170" s="96" t="s">
        <v>217</v>
      </c>
      <c r="E170" s="204" t="s">
        <v>516</v>
      </c>
      <c r="F170" s="204" t="s">
        <v>401</v>
      </c>
      <c r="G170" s="201">
        <v>500</v>
      </c>
      <c r="H170" s="201">
        <v>0</v>
      </c>
    </row>
    <row r="171" spans="1:8" s="91" customFormat="1" ht="47.25">
      <c r="A171" s="416" t="s">
        <v>776</v>
      </c>
      <c r="B171" s="184" t="s">
        <v>198</v>
      </c>
      <c r="C171" s="184" t="s">
        <v>219</v>
      </c>
      <c r="D171" s="184" t="s">
        <v>217</v>
      </c>
      <c r="E171" s="184" t="s">
        <v>527</v>
      </c>
      <c r="F171" s="184"/>
      <c r="G171" s="193">
        <f t="shared" ref="G171:H172" si="11">G172</f>
        <v>1420</v>
      </c>
      <c r="H171" s="193">
        <f t="shared" si="11"/>
        <v>570</v>
      </c>
    </row>
    <row r="172" spans="1:8" s="91" customFormat="1" ht="47.25">
      <c r="A172" s="416" t="s">
        <v>778</v>
      </c>
      <c r="B172" s="184" t="s">
        <v>198</v>
      </c>
      <c r="C172" s="184" t="s">
        <v>219</v>
      </c>
      <c r="D172" s="184" t="s">
        <v>217</v>
      </c>
      <c r="E172" s="184" t="s">
        <v>496</v>
      </c>
      <c r="F172" s="184"/>
      <c r="G172" s="193">
        <f t="shared" si="11"/>
        <v>1420</v>
      </c>
      <c r="H172" s="193">
        <f t="shared" si="11"/>
        <v>570</v>
      </c>
    </row>
    <row r="173" spans="1:8" s="91" customFormat="1" ht="31.5">
      <c r="A173" s="416" t="s">
        <v>874</v>
      </c>
      <c r="B173" s="184" t="s">
        <v>198</v>
      </c>
      <c r="C173" s="184" t="s">
        <v>219</v>
      </c>
      <c r="D173" s="184" t="s">
        <v>217</v>
      </c>
      <c r="E173" s="184" t="s">
        <v>496</v>
      </c>
      <c r="F173" s="184"/>
      <c r="G173" s="193">
        <f>G174+G176+G178+G180</f>
        <v>1420</v>
      </c>
      <c r="H173" s="193">
        <f>H174+H176+H178+H180</f>
        <v>570</v>
      </c>
    </row>
    <row r="174" spans="1:8" s="202" customFormat="1" ht="47.25">
      <c r="A174" s="208" t="s">
        <v>671</v>
      </c>
      <c r="B174" s="96" t="s">
        <v>198</v>
      </c>
      <c r="C174" s="96" t="s">
        <v>219</v>
      </c>
      <c r="D174" s="96" t="s">
        <v>217</v>
      </c>
      <c r="E174" s="96" t="s">
        <v>497</v>
      </c>
      <c r="F174" s="204"/>
      <c r="G174" s="199">
        <f>G175</f>
        <v>450</v>
      </c>
      <c r="H174" s="199">
        <f>H175</f>
        <v>0</v>
      </c>
    </row>
    <row r="175" spans="1:8" s="91" customFormat="1" ht="37.5" customHeight="1">
      <c r="A175" s="152" t="s">
        <v>267</v>
      </c>
      <c r="B175" s="96" t="s">
        <v>198</v>
      </c>
      <c r="C175" s="96" t="s">
        <v>219</v>
      </c>
      <c r="D175" s="96" t="s">
        <v>217</v>
      </c>
      <c r="E175" s="96" t="s">
        <v>497</v>
      </c>
      <c r="F175" s="96" t="s">
        <v>401</v>
      </c>
      <c r="G175" s="109">
        <v>450</v>
      </c>
      <c r="H175" s="109">
        <v>0</v>
      </c>
    </row>
    <row r="176" spans="1:8" s="91" customFormat="1" ht="39.75" customHeight="1">
      <c r="A176" s="165" t="s">
        <v>670</v>
      </c>
      <c r="B176" s="95" t="s">
        <v>198</v>
      </c>
      <c r="C176" s="95" t="s">
        <v>219</v>
      </c>
      <c r="D176" s="95" t="s">
        <v>217</v>
      </c>
      <c r="E176" s="95" t="s">
        <v>497</v>
      </c>
      <c r="F176" s="95"/>
      <c r="G176" s="108">
        <f>G177</f>
        <v>170</v>
      </c>
      <c r="H176" s="108">
        <f>H177</f>
        <v>170</v>
      </c>
    </row>
    <row r="177" spans="1:8" s="91" customFormat="1" ht="42.75" customHeight="1">
      <c r="A177" s="152" t="s">
        <v>267</v>
      </c>
      <c r="B177" s="96" t="s">
        <v>198</v>
      </c>
      <c r="C177" s="96" t="s">
        <v>219</v>
      </c>
      <c r="D177" s="96" t="s">
        <v>217</v>
      </c>
      <c r="E177" s="96" t="s">
        <v>497</v>
      </c>
      <c r="F177" s="96" t="s">
        <v>401</v>
      </c>
      <c r="G177" s="109">
        <v>170</v>
      </c>
      <c r="H177" s="109">
        <f>G177</f>
        <v>170</v>
      </c>
    </row>
    <row r="178" spans="1:8" s="91" customFormat="1" ht="58.5" customHeight="1">
      <c r="A178" s="152" t="s">
        <v>1007</v>
      </c>
      <c r="B178" s="96" t="s">
        <v>198</v>
      </c>
      <c r="C178" s="96" t="s">
        <v>219</v>
      </c>
      <c r="D178" s="96" t="s">
        <v>217</v>
      </c>
      <c r="E178" s="96" t="s">
        <v>1009</v>
      </c>
      <c r="F178" s="96"/>
      <c r="G178" s="109">
        <f>G179</f>
        <v>400</v>
      </c>
      <c r="H178" s="109">
        <f>H179</f>
        <v>400</v>
      </c>
    </row>
    <row r="179" spans="1:8" s="91" customFormat="1" ht="42.75" customHeight="1">
      <c r="A179" s="152" t="s">
        <v>267</v>
      </c>
      <c r="B179" s="96" t="s">
        <v>198</v>
      </c>
      <c r="C179" s="96" t="s">
        <v>219</v>
      </c>
      <c r="D179" s="96" t="s">
        <v>217</v>
      </c>
      <c r="E179" s="96" t="s">
        <v>1009</v>
      </c>
      <c r="F179" s="96" t="s">
        <v>401</v>
      </c>
      <c r="G179" s="109">
        <v>400</v>
      </c>
      <c r="H179" s="109">
        <f>G179</f>
        <v>400</v>
      </c>
    </row>
    <row r="180" spans="1:8" s="91" customFormat="1" ht="78" customHeight="1">
      <c r="A180" s="152" t="s">
        <v>1008</v>
      </c>
      <c r="B180" s="96" t="s">
        <v>198</v>
      </c>
      <c r="C180" s="96" t="s">
        <v>219</v>
      </c>
      <c r="D180" s="96" t="s">
        <v>217</v>
      </c>
      <c r="E180" s="96" t="s">
        <v>1009</v>
      </c>
      <c r="F180" s="96"/>
      <c r="G180" s="109">
        <f>G181</f>
        <v>400</v>
      </c>
      <c r="H180" s="109">
        <v>0</v>
      </c>
    </row>
    <row r="181" spans="1:8" s="91" customFormat="1" ht="42.75" customHeight="1">
      <c r="A181" s="152" t="s">
        <v>267</v>
      </c>
      <c r="B181" s="96" t="s">
        <v>198</v>
      </c>
      <c r="C181" s="96" t="s">
        <v>219</v>
      </c>
      <c r="D181" s="96" t="s">
        <v>217</v>
      </c>
      <c r="E181" s="96" t="s">
        <v>1009</v>
      </c>
      <c r="F181" s="96" t="s">
        <v>401</v>
      </c>
      <c r="G181" s="109">
        <v>400</v>
      </c>
      <c r="H181" s="109">
        <v>0</v>
      </c>
    </row>
    <row r="182" spans="1:8" s="91" customFormat="1" ht="52.5" customHeight="1">
      <c r="A182" s="625" t="s">
        <v>1236</v>
      </c>
      <c r="B182" s="184" t="s">
        <v>198</v>
      </c>
      <c r="C182" s="184" t="s">
        <v>219</v>
      </c>
      <c r="D182" s="184" t="s">
        <v>217</v>
      </c>
      <c r="E182" s="184" t="s">
        <v>1249</v>
      </c>
      <c r="F182" s="184"/>
      <c r="G182" s="193">
        <f>G183</f>
        <v>3</v>
      </c>
      <c r="H182" s="193">
        <f>H183</f>
        <v>3</v>
      </c>
    </row>
    <row r="183" spans="1:8" s="91" customFormat="1" ht="52.5" customHeight="1">
      <c r="A183" s="625" t="s">
        <v>1248</v>
      </c>
      <c r="B183" s="184" t="s">
        <v>198</v>
      </c>
      <c r="C183" s="184" t="s">
        <v>219</v>
      </c>
      <c r="D183" s="184" t="s">
        <v>217</v>
      </c>
      <c r="E183" s="184" t="s">
        <v>1266</v>
      </c>
      <c r="F183" s="184"/>
      <c r="G183" s="193">
        <f>G184</f>
        <v>3</v>
      </c>
      <c r="H183" s="193">
        <f>H184</f>
        <v>3</v>
      </c>
    </row>
    <row r="184" spans="1:8" s="91" customFormat="1" ht="51" customHeight="1">
      <c r="A184" s="575" t="s">
        <v>1245</v>
      </c>
      <c r="B184" s="96" t="s">
        <v>198</v>
      </c>
      <c r="C184" s="96" t="s">
        <v>219</v>
      </c>
      <c r="D184" s="96" t="s">
        <v>217</v>
      </c>
      <c r="E184" s="96" t="s">
        <v>1244</v>
      </c>
      <c r="F184" s="96"/>
      <c r="G184" s="109">
        <f>G185</f>
        <v>3</v>
      </c>
      <c r="H184" s="109">
        <f>H185+H244</f>
        <v>3</v>
      </c>
    </row>
    <row r="185" spans="1:8" s="156" customFormat="1" ht="66.75" customHeight="1">
      <c r="A185" s="77" t="s">
        <v>402</v>
      </c>
      <c r="B185" s="95" t="s">
        <v>198</v>
      </c>
      <c r="C185" s="95" t="s">
        <v>219</v>
      </c>
      <c r="D185" s="95" t="s">
        <v>217</v>
      </c>
      <c r="E185" s="96" t="s">
        <v>1270</v>
      </c>
      <c r="F185" s="95"/>
      <c r="G185" s="108">
        <f>G186+G187</f>
        <v>3</v>
      </c>
      <c r="H185" s="108">
        <f>H186+H187</f>
        <v>3</v>
      </c>
    </row>
    <row r="186" spans="1:8" s="91" customFormat="1" ht="15.75" customHeight="1">
      <c r="A186" s="76" t="s">
        <v>415</v>
      </c>
      <c r="B186" s="96" t="s">
        <v>198</v>
      </c>
      <c r="C186" s="96" t="s">
        <v>219</v>
      </c>
      <c r="D186" s="96" t="s">
        <v>217</v>
      </c>
      <c r="E186" s="96" t="s">
        <v>1270</v>
      </c>
      <c r="F186" s="96" t="s">
        <v>400</v>
      </c>
      <c r="G186" s="109">
        <v>2.3041499999999999</v>
      </c>
      <c r="H186" s="109">
        <f>G186</f>
        <v>2.3041499999999999</v>
      </c>
    </row>
    <row r="187" spans="1:8" s="91" customFormat="1" ht="47.25">
      <c r="A187" s="195" t="s">
        <v>416</v>
      </c>
      <c r="B187" s="96" t="s">
        <v>198</v>
      </c>
      <c r="C187" s="96" t="s">
        <v>219</v>
      </c>
      <c r="D187" s="96" t="s">
        <v>217</v>
      </c>
      <c r="E187" s="96" t="s">
        <v>1270</v>
      </c>
      <c r="F187" s="96" t="s">
        <v>417</v>
      </c>
      <c r="G187" s="109">
        <v>0.69584999999999997</v>
      </c>
      <c r="H187" s="109">
        <f>G187</f>
        <v>0.69584999999999997</v>
      </c>
    </row>
    <row r="188" spans="1:8" s="91" customFormat="1">
      <c r="A188" s="80" t="s">
        <v>265</v>
      </c>
      <c r="B188" s="103" t="s">
        <v>198</v>
      </c>
      <c r="C188" s="103" t="s">
        <v>220</v>
      </c>
      <c r="D188" s="103"/>
      <c r="E188" s="103"/>
      <c r="F188" s="103"/>
      <c r="G188" s="104">
        <f>G189</f>
        <v>95.2</v>
      </c>
      <c r="H188" s="104">
        <v>0</v>
      </c>
    </row>
    <row r="189" spans="1:8" s="91" customFormat="1">
      <c r="A189" s="575" t="s">
        <v>49</v>
      </c>
      <c r="B189" s="103" t="s">
        <v>198</v>
      </c>
      <c r="C189" s="103" t="s">
        <v>220</v>
      </c>
      <c r="D189" s="103" t="s">
        <v>220</v>
      </c>
      <c r="E189" s="103"/>
      <c r="F189" s="103"/>
      <c r="G189" s="104">
        <f>G191</f>
        <v>95.2</v>
      </c>
      <c r="H189" s="104">
        <v>0</v>
      </c>
    </row>
    <row r="190" spans="1:8" s="91" customFormat="1" ht="47.25">
      <c r="A190" s="575" t="s">
        <v>1228</v>
      </c>
      <c r="B190" s="103" t="s">
        <v>198</v>
      </c>
      <c r="C190" s="103" t="s">
        <v>220</v>
      </c>
      <c r="D190" s="103" t="s">
        <v>220</v>
      </c>
      <c r="E190" s="103" t="s">
        <v>551</v>
      </c>
      <c r="F190" s="103"/>
      <c r="G190" s="104">
        <f>G191</f>
        <v>95.2</v>
      </c>
      <c r="H190" s="104">
        <v>0</v>
      </c>
    </row>
    <row r="191" spans="1:8" s="91" customFormat="1" ht="46.5" customHeight="1">
      <c r="A191" s="172" t="s">
        <v>863</v>
      </c>
      <c r="B191" s="96" t="s">
        <v>198</v>
      </c>
      <c r="C191" s="96" t="s">
        <v>220</v>
      </c>
      <c r="D191" s="96" t="s">
        <v>220</v>
      </c>
      <c r="E191" s="96" t="s">
        <v>551</v>
      </c>
      <c r="F191" s="96"/>
      <c r="G191" s="109">
        <f>G192</f>
        <v>95.2</v>
      </c>
      <c r="H191" s="109">
        <v>0</v>
      </c>
    </row>
    <row r="192" spans="1:8" s="91" customFormat="1" ht="46.5" customHeight="1">
      <c r="A192" s="172" t="s">
        <v>420</v>
      </c>
      <c r="B192" s="96" t="s">
        <v>198</v>
      </c>
      <c r="C192" s="96" t="s">
        <v>220</v>
      </c>
      <c r="D192" s="96" t="s">
        <v>220</v>
      </c>
      <c r="E192" s="96" t="s">
        <v>1215</v>
      </c>
      <c r="F192" s="96"/>
      <c r="G192" s="109">
        <f>G193</f>
        <v>95.2</v>
      </c>
      <c r="H192" s="109">
        <v>0</v>
      </c>
    </row>
    <row r="193" spans="1:9" s="91" customFormat="1" ht="31.5">
      <c r="A193" s="152" t="s">
        <v>267</v>
      </c>
      <c r="B193" s="96" t="s">
        <v>198</v>
      </c>
      <c r="C193" s="96" t="s">
        <v>220</v>
      </c>
      <c r="D193" s="96" t="s">
        <v>220</v>
      </c>
      <c r="E193" s="96" t="s">
        <v>1215</v>
      </c>
      <c r="F193" s="96" t="s">
        <v>401</v>
      </c>
      <c r="G193" s="109">
        <v>95.2</v>
      </c>
      <c r="H193" s="109">
        <v>0</v>
      </c>
      <c r="I193" s="91" t="s">
        <v>1226</v>
      </c>
    </row>
    <row r="194" spans="1:9" s="91" customFormat="1">
      <c r="A194" s="80" t="s">
        <v>186</v>
      </c>
      <c r="B194" s="103" t="s">
        <v>198</v>
      </c>
      <c r="C194" s="103" t="s">
        <v>216</v>
      </c>
      <c r="D194" s="103"/>
      <c r="E194" s="103"/>
      <c r="F194" s="103"/>
      <c r="G194" s="104">
        <f>G195</f>
        <v>100</v>
      </c>
      <c r="H194" s="104">
        <f>H195</f>
        <v>0</v>
      </c>
    </row>
    <row r="195" spans="1:9" s="91" customFormat="1" ht="31.5">
      <c r="A195" s="79" t="s">
        <v>187</v>
      </c>
      <c r="B195" s="106" t="s">
        <v>198</v>
      </c>
      <c r="C195" s="106" t="s">
        <v>216</v>
      </c>
      <c r="D195" s="106" t="s">
        <v>213</v>
      </c>
      <c r="E195" s="106"/>
      <c r="F195" s="106"/>
      <c r="G195" s="107">
        <f>G197</f>
        <v>100</v>
      </c>
      <c r="H195" s="107">
        <f>H197</f>
        <v>0</v>
      </c>
    </row>
    <row r="196" spans="1:9" s="91" customFormat="1" ht="52.5" customHeight="1">
      <c r="A196" s="635" t="s">
        <v>734</v>
      </c>
      <c r="B196" s="183" t="s">
        <v>198</v>
      </c>
      <c r="C196" s="183" t="s">
        <v>216</v>
      </c>
      <c r="D196" s="183" t="s">
        <v>213</v>
      </c>
      <c r="E196" s="183"/>
      <c r="F196" s="183"/>
      <c r="G196" s="185">
        <f>G197</f>
        <v>100</v>
      </c>
      <c r="H196" s="185">
        <v>0</v>
      </c>
    </row>
    <row r="197" spans="1:9" s="91" customFormat="1" ht="33" customHeight="1">
      <c r="A197" s="77" t="s">
        <v>1219</v>
      </c>
      <c r="B197" s="95" t="s">
        <v>198</v>
      </c>
      <c r="C197" s="95" t="s">
        <v>216</v>
      </c>
      <c r="D197" s="95" t="s">
        <v>213</v>
      </c>
      <c r="E197" s="95" t="s">
        <v>1221</v>
      </c>
      <c r="F197" s="95"/>
      <c r="G197" s="108">
        <f t="shared" ref="G197:H197" si="12">G198</f>
        <v>100</v>
      </c>
      <c r="H197" s="108">
        <f t="shared" si="12"/>
        <v>0</v>
      </c>
    </row>
    <row r="198" spans="1:9" s="91" customFormat="1" ht="31.5">
      <c r="A198" s="76" t="s">
        <v>381</v>
      </c>
      <c r="B198" s="96" t="s">
        <v>198</v>
      </c>
      <c r="C198" s="96" t="s">
        <v>216</v>
      </c>
      <c r="D198" s="96" t="s">
        <v>213</v>
      </c>
      <c r="E198" s="96" t="s">
        <v>1220</v>
      </c>
      <c r="F198" s="96"/>
      <c r="G198" s="109">
        <f>G199</f>
        <v>100</v>
      </c>
      <c r="H198" s="109">
        <f>H199</f>
        <v>0</v>
      </c>
    </row>
    <row r="199" spans="1:9" s="91" customFormat="1" ht="31.5">
      <c r="A199" s="152" t="s">
        <v>267</v>
      </c>
      <c r="B199" s="96" t="s">
        <v>198</v>
      </c>
      <c r="C199" s="96" t="s">
        <v>216</v>
      </c>
      <c r="D199" s="96" t="s">
        <v>213</v>
      </c>
      <c r="E199" s="96" t="s">
        <v>1220</v>
      </c>
      <c r="F199" s="96" t="s">
        <v>401</v>
      </c>
      <c r="G199" s="109">
        <v>100</v>
      </c>
      <c r="H199" s="109">
        <v>0</v>
      </c>
    </row>
    <row r="200" spans="1:9" s="92" customFormat="1">
      <c r="A200" s="80" t="s">
        <v>396</v>
      </c>
      <c r="B200" s="103">
        <v>934</v>
      </c>
      <c r="C200" s="103" t="s">
        <v>212</v>
      </c>
      <c r="D200" s="103" t="s">
        <v>490</v>
      </c>
      <c r="E200" s="113"/>
      <c r="F200" s="103"/>
      <c r="G200" s="104">
        <f>G201+G209</f>
        <v>16112.711020000001</v>
      </c>
      <c r="H200" s="104">
        <f>H201+H209</f>
        <v>7480.8</v>
      </c>
    </row>
    <row r="201" spans="1:9" s="92" customFormat="1">
      <c r="A201" s="79" t="s">
        <v>461</v>
      </c>
      <c r="B201" s="106" t="s">
        <v>198</v>
      </c>
      <c r="C201" s="106" t="s">
        <v>212</v>
      </c>
      <c r="D201" s="106" t="s">
        <v>213</v>
      </c>
      <c r="E201" s="114"/>
      <c r="F201" s="106"/>
      <c r="G201" s="107">
        <f t="shared" ref="G201:H202" si="13">G202</f>
        <v>15910.6702</v>
      </c>
      <c r="H201" s="107">
        <f t="shared" si="13"/>
        <v>7380.8</v>
      </c>
    </row>
    <row r="202" spans="1:9" s="91" customFormat="1" ht="31.5">
      <c r="A202" s="173" t="s">
        <v>1109</v>
      </c>
      <c r="B202" s="175" t="s">
        <v>198</v>
      </c>
      <c r="C202" s="175" t="s">
        <v>212</v>
      </c>
      <c r="D202" s="175" t="s">
        <v>213</v>
      </c>
      <c r="E202" s="175" t="s">
        <v>537</v>
      </c>
      <c r="F202" s="175"/>
      <c r="G202" s="177">
        <f t="shared" si="13"/>
        <v>15910.6702</v>
      </c>
      <c r="H202" s="177">
        <f t="shared" si="13"/>
        <v>7380.8</v>
      </c>
    </row>
    <row r="203" spans="1:9" s="91" customFormat="1" ht="35.25" customHeight="1">
      <c r="A203" s="173" t="s">
        <v>875</v>
      </c>
      <c r="B203" s="175" t="s">
        <v>198</v>
      </c>
      <c r="C203" s="175" t="s">
        <v>212</v>
      </c>
      <c r="D203" s="175" t="s">
        <v>213</v>
      </c>
      <c r="E203" s="175" t="s">
        <v>537</v>
      </c>
      <c r="F203" s="175"/>
      <c r="G203" s="177">
        <f>G204+G206+G208</f>
        <v>15910.6702</v>
      </c>
      <c r="H203" s="177">
        <f>H204+H206+H208</f>
        <v>7380.8</v>
      </c>
    </row>
    <row r="204" spans="1:9" s="92" customFormat="1" ht="94.5">
      <c r="A204" s="77" t="s">
        <v>179</v>
      </c>
      <c r="B204" s="95" t="s">
        <v>198</v>
      </c>
      <c r="C204" s="95" t="s">
        <v>212</v>
      </c>
      <c r="D204" s="95" t="s">
        <v>213</v>
      </c>
      <c r="E204" s="96" t="s">
        <v>663</v>
      </c>
      <c r="F204" s="95"/>
      <c r="G204" s="121">
        <f>G205</f>
        <v>7380.8</v>
      </c>
      <c r="H204" s="121">
        <f>H205</f>
        <v>7380.8</v>
      </c>
    </row>
    <row r="205" spans="1:9" s="92" customFormat="1">
      <c r="A205" s="76" t="s">
        <v>340</v>
      </c>
      <c r="B205" s="96" t="s">
        <v>198</v>
      </c>
      <c r="C205" s="96" t="s">
        <v>212</v>
      </c>
      <c r="D205" s="96" t="s">
        <v>213</v>
      </c>
      <c r="E205" s="96" t="s">
        <v>663</v>
      </c>
      <c r="F205" s="96" t="s">
        <v>341</v>
      </c>
      <c r="G205" s="109">
        <v>7380.8</v>
      </c>
      <c r="H205" s="109">
        <f>G205</f>
        <v>7380.8</v>
      </c>
    </row>
    <row r="206" spans="1:9" s="92" customFormat="1" ht="94.5">
      <c r="A206" s="76" t="s">
        <v>662</v>
      </c>
      <c r="B206" s="95" t="s">
        <v>198</v>
      </c>
      <c r="C206" s="95" t="s">
        <v>212</v>
      </c>
      <c r="D206" s="95" t="s">
        <v>213</v>
      </c>
      <c r="E206" s="96" t="s">
        <v>663</v>
      </c>
      <c r="F206" s="95"/>
      <c r="G206" s="109">
        <f>G207</f>
        <v>3761.4655600000001</v>
      </c>
      <c r="H206" s="109">
        <f>H207</f>
        <v>0</v>
      </c>
    </row>
    <row r="207" spans="1:9" s="92" customFormat="1">
      <c r="A207" s="76" t="s">
        <v>340</v>
      </c>
      <c r="B207" s="96" t="s">
        <v>198</v>
      </c>
      <c r="C207" s="96" t="s">
        <v>212</v>
      </c>
      <c r="D207" s="96" t="s">
        <v>213</v>
      </c>
      <c r="E207" s="96" t="s">
        <v>663</v>
      </c>
      <c r="F207" s="96" t="s">
        <v>341</v>
      </c>
      <c r="G207" s="109">
        <v>3761.4655600000001</v>
      </c>
      <c r="H207" s="109">
        <v>0</v>
      </c>
    </row>
    <row r="208" spans="1:9" s="92" customFormat="1" ht="47.25">
      <c r="A208" s="76" t="s">
        <v>339</v>
      </c>
      <c r="B208" s="96" t="s">
        <v>198</v>
      </c>
      <c r="C208" s="96" t="s">
        <v>212</v>
      </c>
      <c r="D208" s="96" t="s">
        <v>213</v>
      </c>
      <c r="E208" s="96" t="s">
        <v>518</v>
      </c>
      <c r="F208" s="96" t="s">
        <v>409</v>
      </c>
      <c r="G208" s="109">
        <f>99.757+140.45+193+4335.19764</f>
        <v>4768.4046400000007</v>
      </c>
      <c r="H208" s="109">
        <v>0</v>
      </c>
    </row>
    <row r="209" spans="1:8" s="91" customFormat="1">
      <c r="A209" s="79" t="s">
        <v>389</v>
      </c>
      <c r="B209" s="105">
        <v>934</v>
      </c>
      <c r="C209" s="106" t="s">
        <v>212</v>
      </c>
      <c r="D209" s="106" t="s">
        <v>212</v>
      </c>
      <c r="E209" s="106"/>
      <c r="F209" s="106"/>
      <c r="G209" s="107">
        <f t="shared" ref="G209:H210" si="14">G210</f>
        <v>202.04082</v>
      </c>
      <c r="H209" s="107">
        <f t="shared" si="14"/>
        <v>100</v>
      </c>
    </row>
    <row r="210" spans="1:8" s="91" customFormat="1" ht="31.5">
      <c r="A210" s="173" t="s">
        <v>772</v>
      </c>
      <c r="B210" s="174">
        <v>934</v>
      </c>
      <c r="C210" s="175" t="s">
        <v>212</v>
      </c>
      <c r="D210" s="175" t="s">
        <v>212</v>
      </c>
      <c r="E210" s="175" t="s">
        <v>576</v>
      </c>
      <c r="F210" s="175"/>
      <c r="G210" s="177">
        <f t="shared" si="14"/>
        <v>202.04082</v>
      </c>
      <c r="H210" s="177">
        <f t="shared" si="14"/>
        <v>100</v>
      </c>
    </row>
    <row r="211" spans="1:8" s="91" customFormat="1" ht="31.5">
      <c r="A211" s="178" t="s">
        <v>774</v>
      </c>
      <c r="B211" s="180">
        <v>934</v>
      </c>
      <c r="C211" s="180" t="s">
        <v>212</v>
      </c>
      <c r="D211" s="180" t="s">
        <v>212</v>
      </c>
      <c r="E211" s="630" t="s">
        <v>1068</v>
      </c>
      <c r="F211" s="180"/>
      <c r="G211" s="181">
        <f>G212+G214+G216</f>
        <v>202.04082</v>
      </c>
      <c r="H211" s="181">
        <f>H212+H214+H216</f>
        <v>100</v>
      </c>
    </row>
    <row r="212" spans="1:8" s="91" customFormat="1" ht="28.5" customHeight="1">
      <c r="A212" s="178" t="s">
        <v>876</v>
      </c>
      <c r="B212" s="180" t="s">
        <v>198</v>
      </c>
      <c r="C212" s="180" t="s">
        <v>212</v>
      </c>
      <c r="D212" s="180" t="s">
        <v>212</v>
      </c>
      <c r="E212" s="630" t="s">
        <v>519</v>
      </c>
      <c r="F212" s="180"/>
      <c r="G212" s="201">
        <f>G213</f>
        <v>100</v>
      </c>
      <c r="H212" s="201">
        <f>H213</f>
        <v>0</v>
      </c>
    </row>
    <row r="213" spans="1:8" s="202" customFormat="1" ht="31.5">
      <c r="A213" s="152" t="s">
        <v>267</v>
      </c>
      <c r="B213" s="98">
        <v>934</v>
      </c>
      <c r="C213" s="96" t="s">
        <v>212</v>
      </c>
      <c r="D213" s="96" t="s">
        <v>212</v>
      </c>
      <c r="E213" s="456" t="s">
        <v>519</v>
      </c>
      <c r="F213" s="96" t="s">
        <v>401</v>
      </c>
      <c r="G213" s="201">
        <v>100</v>
      </c>
      <c r="H213" s="201">
        <v>0</v>
      </c>
    </row>
    <row r="214" spans="1:8" s="202" customFormat="1" ht="31.5">
      <c r="A214" s="221" t="s">
        <v>1065</v>
      </c>
      <c r="B214" s="98">
        <v>934</v>
      </c>
      <c r="C214" s="96" t="s">
        <v>212</v>
      </c>
      <c r="D214" s="96" t="s">
        <v>212</v>
      </c>
      <c r="E214" s="96" t="s">
        <v>1069</v>
      </c>
      <c r="F214" s="200"/>
      <c r="G214" s="201">
        <f>G215</f>
        <v>100</v>
      </c>
      <c r="H214" s="201">
        <f>H215</f>
        <v>100</v>
      </c>
    </row>
    <row r="215" spans="1:8" s="202" customFormat="1" ht="31.5">
      <c r="A215" s="152" t="s">
        <v>267</v>
      </c>
      <c r="B215" s="98">
        <v>934</v>
      </c>
      <c r="C215" s="96" t="s">
        <v>212</v>
      </c>
      <c r="D215" s="96" t="s">
        <v>212</v>
      </c>
      <c r="E215" s="96" t="s">
        <v>1069</v>
      </c>
      <c r="F215" s="96" t="s">
        <v>401</v>
      </c>
      <c r="G215" s="109">
        <f>44+56</f>
        <v>100</v>
      </c>
      <c r="H215" s="109">
        <f>G215</f>
        <v>100</v>
      </c>
    </row>
    <row r="216" spans="1:8" s="202" customFormat="1" ht="31.5">
      <c r="A216" s="152" t="s">
        <v>1070</v>
      </c>
      <c r="B216" s="98">
        <v>934</v>
      </c>
      <c r="C216" s="96" t="s">
        <v>212</v>
      </c>
      <c r="D216" s="96" t="s">
        <v>212</v>
      </c>
      <c r="E216" s="96" t="s">
        <v>1069</v>
      </c>
      <c r="F216" s="96"/>
      <c r="G216" s="109">
        <f>G217</f>
        <v>2.0408200000000001</v>
      </c>
      <c r="H216" s="109">
        <v>0</v>
      </c>
    </row>
    <row r="217" spans="1:8" s="202" customFormat="1" ht="31.5">
      <c r="A217" s="152" t="s">
        <v>267</v>
      </c>
      <c r="B217" s="98">
        <v>934</v>
      </c>
      <c r="C217" s="96" t="s">
        <v>212</v>
      </c>
      <c r="D217" s="96" t="s">
        <v>212</v>
      </c>
      <c r="E217" s="96" t="s">
        <v>1069</v>
      </c>
      <c r="F217" s="96" t="s">
        <v>401</v>
      </c>
      <c r="G217" s="109">
        <v>2.0408200000000001</v>
      </c>
      <c r="H217" s="109">
        <v>0</v>
      </c>
    </row>
    <row r="218" spans="1:8">
      <c r="A218" s="80" t="s">
        <v>342</v>
      </c>
      <c r="B218" s="103" t="s">
        <v>198</v>
      </c>
      <c r="C218" s="103" t="s">
        <v>221</v>
      </c>
      <c r="D218" s="103"/>
      <c r="E218" s="103"/>
      <c r="F218" s="103"/>
      <c r="G218" s="104">
        <f t="shared" ref="G218:H220" si="15">G219</f>
        <v>43876.017890000003</v>
      </c>
      <c r="H218" s="104">
        <f t="shared" si="15"/>
        <v>21294</v>
      </c>
    </row>
    <row r="219" spans="1:8">
      <c r="A219" s="79" t="s">
        <v>394</v>
      </c>
      <c r="B219" s="106" t="s">
        <v>198</v>
      </c>
      <c r="C219" s="106" t="s">
        <v>221</v>
      </c>
      <c r="D219" s="106" t="s">
        <v>210</v>
      </c>
      <c r="E219" s="106"/>
      <c r="F219" s="106"/>
      <c r="G219" s="107">
        <f t="shared" si="15"/>
        <v>43876.017890000003</v>
      </c>
      <c r="H219" s="107">
        <f t="shared" si="15"/>
        <v>21294</v>
      </c>
    </row>
    <row r="220" spans="1:8" s="91" customFormat="1" ht="35.25" customHeight="1">
      <c r="A220" s="173" t="s">
        <v>795</v>
      </c>
      <c r="B220" s="174">
        <v>934</v>
      </c>
      <c r="C220" s="175" t="s">
        <v>221</v>
      </c>
      <c r="D220" s="175" t="s">
        <v>210</v>
      </c>
      <c r="E220" s="175" t="s">
        <v>537</v>
      </c>
      <c r="F220" s="175"/>
      <c r="G220" s="177">
        <f t="shared" si="15"/>
        <v>43876.017890000003</v>
      </c>
      <c r="H220" s="177">
        <f t="shared" si="15"/>
        <v>21294</v>
      </c>
    </row>
    <row r="221" spans="1:8" s="91" customFormat="1" ht="35.25" customHeight="1">
      <c r="A221" s="173" t="s">
        <v>912</v>
      </c>
      <c r="B221" s="174">
        <v>934</v>
      </c>
      <c r="C221" s="175" t="s">
        <v>221</v>
      </c>
      <c r="D221" s="175" t="s">
        <v>210</v>
      </c>
      <c r="E221" s="175" t="s">
        <v>537</v>
      </c>
      <c r="F221" s="175"/>
      <c r="G221" s="177">
        <f>G222+G224+G226+G228</f>
        <v>43876.017890000003</v>
      </c>
      <c r="H221" s="177">
        <f>H222+H224+H226+H228</f>
        <v>21294</v>
      </c>
    </row>
    <row r="222" spans="1:8" ht="47.25">
      <c r="A222" s="77" t="s">
        <v>138</v>
      </c>
      <c r="B222" s="95" t="s">
        <v>198</v>
      </c>
      <c r="C222" s="95" t="s">
        <v>221</v>
      </c>
      <c r="D222" s="95" t="s">
        <v>210</v>
      </c>
      <c r="E222" s="95" t="s">
        <v>522</v>
      </c>
      <c r="F222" s="95"/>
      <c r="G222" s="121">
        <f>G223</f>
        <v>11457.71845</v>
      </c>
      <c r="H222" s="121">
        <f>H223</f>
        <v>0</v>
      </c>
    </row>
    <row r="223" spans="1:8" ht="47.25">
      <c r="A223" s="76" t="s">
        <v>262</v>
      </c>
      <c r="B223" s="96" t="s">
        <v>198</v>
      </c>
      <c r="C223" s="96" t="s">
        <v>221</v>
      </c>
      <c r="D223" s="96" t="s">
        <v>210</v>
      </c>
      <c r="E223" s="96" t="s">
        <v>522</v>
      </c>
      <c r="F223" s="96" t="s">
        <v>408</v>
      </c>
      <c r="G223" s="109">
        <f>1841.9504+170.1+16+1116+8313.66805</f>
        <v>11457.71845</v>
      </c>
      <c r="H223" s="109">
        <v>0</v>
      </c>
    </row>
    <row r="224" spans="1:8" ht="32.25" customHeight="1">
      <c r="A224" s="77" t="s">
        <v>98</v>
      </c>
      <c r="B224" s="95" t="s">
        <v>198</v>
      </c>
      <c r="C224" s="95" t="s">
        <v>221</v>
      </c>
      <c r="D224" s="95" t="s">
        <v>210</v>
      </c>
      <c r="E224" s="96" t="s">
        <v>523</v>
      </c>
      <c r="F224" s="95"/>
      <c r="G224" s="108">
        <f>G225</f>
        <v>2362.1396599999998</v>
      </c>
      <c r="H224" s="108">
        <f>H225</f>
        <v>0</v>
      </c>
    </row>
    <row r="225" spans="1:8" ht="53.25" customHeight="1">
      <c r="A225" s="76" t="s">
        <v>262</v>
      </c>
      <c r="B225" s="96" t="s">
        <v>198</v>
      </c>
      <c r="C225" s="96" t="s">
        <v>221</v>
      </c>
      <c r="D225" s="96" t="s">
        <v>210</v>
      </c>
      <c r="E225" s="96" t="s">
        <v>523</v>
      </c>
      <c r="F225" s="96" t="s">
        <v>408</v>
      </c>
      <c r="G225" s="576">
        <f>1107.98976+643.38519+9+601.76471</f>
        <v>2362.1396599999998</v>
      </c>
      <c r="H225" s="109">
        <v>0</v>
      </c>
    </row>
    <row r="226" spans="1:8" ht="31.5">
      <c r="A226" s="77" t="s">
        <v>545</v>
      </c>
      <c r="B226" s="97">
        <v>934</v>
      </c>
      <c r="C226" s="95" t="s">
        <v>221</v>
      </c>
      <c r="D226" s="95" t="s">
        <v>210</v>
      </c>
      <c r="E226" s="149" t="s">
        <v>721</v>
      </c>
      <c r="F226" s="95"/>
      <c r="G226" s="148">
        <f>G227</f>
        <v>21294</v>
      </c>
      <c r="H226" s="148">
        <f>H227</f>
        <v>21294</v>
      </c>
    </row>
    <row r="227" spans="1:8">
      <c r="A227" s="76" t="s">
        <v>263</v>
      </c>
      <c r="B227" s="153">
        <v>934</v>
      </c>
      <c r="C227" s="149" t="s">
        <v>221</v>
      </c>
      <c r="D227" s="149" t="s">
        <v>210</v>
      </c>
      <c r="E227" s="149" t="s">
        <v>721</v>
      </c>
      <c r="F227" s="149" t="s">
        <v>260</v>
      </c>
      <c r="G227" s="148">
        <v>21294</v>
      </c>
      <c r="H227" s="148">
        <f>G227</f>
        <v>21294</v>
      </c>
    </row>
    <row r="228" spans="1:8" ht="31.5">
      <c r="A228" s="76" t="s">
        <v>661</v>
      </c>
      <c r="B228" s="98">
        <v>934</v>
      </c>
      <c r="C228" s="96" t="s">
        <v>221</v>
      </c>
      <c r="D228" s="96" t="s">
        <v>210</v>
      </c>
      <c r="E228" s="149" t="s">
        <v>721</v>
      </c>
      <c r="F228" s="96"/>
      <c r="G228" s="148">
        <f>G229</f>
        <v>8762.15978</v>
      </c>
      <c r="H228" s="148">
        <f>H229</f>
        <v>0</v>
      </c>
    </row>
    <row r="229" spans="1:8">
      <c r="A229" s="76" t="s">
        <v>263</v>
      </c>
      <c r="B229" s="153">
        <v>934</v>
      </c>
      <c r="C229" s="149" t="s">
        <v>221</v>
      </c>
      <c r="D229" s="149" t="s">
        <v>210</v>
      </c>
      <c r="E229" s="149" t="s">
        <v>721</v>
      </c>
      <c r="F229" s="149" t="s">
        <v>260</v>
      </c>
      <c r="G229" s="148">
        <f>6251.11108+2511.0487</f>
        <v>8762.15978</v>
      </c>
      <c r="H229" s="148">
        <v>0</v>
      </c>
    </row>
    <row r="230" spans="1:8">
      <c r="A230" s="80" t="s">
        <v>393</v>
      </c>
      <c r="B230" s="116" t="s">
        <v>198</v>
      </c>
      <c r="C230" s="116" t="s">
        <v>215</v>
      </c>
      <c r="D230" s="116"/>
      <c r="E230" s="116"/>
      <c r="F230" s="116"/>
      <c r="G230" s="122">
        <f>G231+G233+G255+G247</f>
        <v>10641.989669999999</v>
      </c>
      <c r="H230" s="122">
        <f>H231+H233+H255+H247</f>
        <v>5809.6999999999989</v>
      </c>
    </row>
    <row r="231" spans="1:8">
      <c r="A231" s="79" t="s">
        <v>226</v>
      </c>
      <c r="B231" s="240" t="s">
        <v>198</v>
      </c>
      <c r="C231" s="240" t="s">
        <v>215</v>
      </c>
      <c r="D231" s="240" t="s">
        <v>210</v>
      </c>
      <c r="E231" s="240"/>
      <c r="F231" s="240"/>
      <c r="G231" s="122">
        <f>G232</f>
        <v>4147.7133199999998</v>
      </c>
      <c r="H231" s="122">
        <f>H232</f>
        <v>0</v>
      </c>
    </row>
    <row r="232" spans="1:8" ht="31.5">
      <c r="A232" s="76" t="s">
        <v>432</v>
      </c>
      <c r="B232" s="96">
        <v>934</v>
      </c>
      <c r="C232" s="96" t="s">
        <v>215</v>
      </c>
      <c r="D232" s="96" t="s">
        <v>210</v>
      </c>
      <c r="E232" s="96" t="s">
        <v>524</v>
      </c>
      <c r="F232" s="96" t="s">
        <v>344</v>
      </c>
      <c r="G232" s="109">
        <v>4147.7133199999998</v>
      </c>
      <c r="H232" s="109">
        <v>0</v>
      </c>
    </row>
    <row r="233" spans="1:8">
      <c r="A233" s="79" t="s">
        <v>391</v>
      </c>
      <c r="B233" s="106">
        <v>934</v>
      </c>
      <c r="C233" s="106" t="s">
        <v>215</v>
      </c>
      <c r="D233" s="106" t="s">
        <v>213</v>
      </c>
      <c r="E233" s="106"/>
      <c r="F233" s="106"/>
      <c r="G233" s="122">
        <f>G236+G244+G241+G234</f>
        <v>935.5</v>
      </c>
      <c r="H233" s="122">
        <f t="shared" ref="H233" si="16">H236+H244+H241</f>
        <v>815.5</v>
      </c>
    </row>
    <row r="234" spans="1:8" ht="31.5" hidden="1">
      <c r="A234" s="169" t="s">
        <v>381</v>
      </c>
      <c r="B234" s="96">
        <v>934</v>
      </c>
      <c r="C234" s="117" t="s">
        <v>215</v>
      </c>
      <c r="D234" s="117" t="s">
        <v>213</v>
      </c>
      <c r="E234" s="744" t="s">
        <v>2</v>
      </c>
      <c r="F234" s="96"/>
      <c r="G234" s="109">
        <f>G235</f>
        <v>0</v>
      </c>
      <c r="H234" s="109">
        <v>0</v>
      </c>
    </row>
    <row r="235" spans="1:8" hidden="1">
      <c r="A235" s="76" t="s">
        <v>188</v>
      </c>
      <c r="B235" s="96">
        <v>934</v>
      </c>
      <c r="C235" s="117" t="s">
        <v>215</v>
      </c>
      <c r="D235" s="117" t="s">
        <v>213</v>
      </c>
      <c r="E235" s="744" t="s">
        <v>2</v>
      </c>
      <c r="F235" s="117" t="s">
        <v>1027</v>
      </c>
      <c r="G235" s="109"/>
      <c r="H235" s="109">
        <v>0</v>
      </c>
    </row>
    <row r="236" spans="1:8" ht="31.5">
      <c r="A236" s="173" t="s">
        <v>795</v>
      </c>
      <c r="B236" s="174">
        <v>934</v>
      </c>
      <c r="C236" s="175" t="s">
        <v>215</v>
      </c>
      <c r="D236" s="175" t="s">
        <v>213</v>
      </c>
      <c r="E236" s="175" t="s">
        <v>537</v>
      </c>
      <c r="F236" s="631"/>
      <c r="G236" s="193">
        <f t="shared" ref="G236:H237" si="17">G237</f>
        <v>587</v>
      </c>
      <c r="H236" s="193">
        <f t="shared" si="17"/>
        <v>587</v>
      </c>
    </row>
    <row r="237" spans="1:8">
      <c r="A237" s="173" t="s">
        <v>875</v>
      </c>
      <c r="B237" s="174">
        <v>934</v>
      </c>
      <c r="C237" s="175" t="s">
        <v>215</v>
      </c>
      <c r="D237" s="175" t="s">
        <v>213</v>
      </c>
      <c r="E237" s="175" t="s">
        <v>537</v>
      </c>
      <c r="F237" s="631"/>
      <c r="G237" s="193">
        <f t="shared" si="17"/>
        <v>587</v>
      </c>
      <c r="H237" s="193">
        <f t="shared" si="17"/>
        <v>587</v>
      </c>
    </row>
    <row r="238" spans="1:8" ht="177.75" customHeight="1">
      <c r="A238" s="312" t="s">
        <v>715</v>
      </c>
      <c r="B238" s="95">
        <v>934</v>
      </c>
      <c r="C238" s="115" t="s">
        <v>215</v>
      </c>
      <c r="D238" s="115" t="s">
        <v>213</v>
      </c>
      <c r="E238" s="95" t="s">
        <v>418</v>
      </c>
      <c r="F238" s="115"/>
      <c r="G238" s="108">
        <f>G239+G240</f>
        <v>587</v>
      </c>
      <c r="H238" s="108">
        <f>H239+H240</f>
        <v>587</v>
      </c>
    </row>
    <row r="239" spans="1:8">
      <c r="A239" s="76" t="s">
        <v>263</v>
      </c>
      <c r="B239" s="96">
        <v>934</v>
      </c>
      <c r="C239" s="117" t="s">
        <v>215</v>
      </c>
      <c r="D239" s="117" t="s">
        <v>213</v>
      </c>
      <c r="E239" s="96" t="s">
        <v>418</v>
      </c>
      <c r="F239" s="117" t="s">
        <v>260</v>
      </c>
      <c r="G239" s="109">
        <v>384</v>
      </c>
      <c r="H239" s="109">
        <f>G239</f>
        <v>384</v>
      </c>
    </row>
    <row r="240" spans="1:8">
      <c r="A240" s="76" t="s">
        <v>340</v>
      </c>
      <c r="B240" s="96">
        <v>934</v>
      </c>
      <c r="C240" s="117" t="s">
        <v>215</v>
      </c>
      <c r="D240" s="117" t="s">
        <v>213</v>
      </c>
      <c r="E240" s="96" t="s">
        <v>418</v>
      </c>
      <c r="F240" s="117" t="s">
        <v>341</v>
      </c>
      <c r="G240" s="109">
        <v>203</v>
      </c>
      <c r="H240" s="109">
        <f>G240</f>
        <v>203</v>
      </c>
    </row>
    <row r="241" spans="1:8" ht="52.5" customHeight="1">
      <c r="A241" s="188" t="s">
        <v>780</v>
      </c>
      <c r="B241" s="186" t="s">
        <v>198</v>
      </c>
      <c r="C241" s="630" t="s">
        <v>215</v>
      </c>
      <c r="D241" s="630" t="s">
        <v>213</v>
      </c>
      <c r="E241" s="186" t="s">
        <v>1004</v>
      </c>
      <c r="F241" s="630"/>
      <c r="G241" s="194">
        <f t="shared" ref="G241:H242" si="18">G242</f>
        <v>228.5</v>
      </c>
      <c r="H241" s="194">
        <f t="shared" si="18"/>
        <v>228.5</v>
      </c>
    </row>
    <row r="242" spans="1:8" ht="64.5" customHeight="1">
      <c r="A242" s="312" t="s">
        <v>715</v>
      </c>
      <c r="B242" s="204" t="s">
        <v>198</v>
      </c>
      <c r="C242" s="117" t="s">
        <v>215</v>
      </c>
      <c r="D242" s="117" t="s">
        <v>213</v>
      </c>
      <c r="E242" s="96" t="s">
        <v>1004</v>
      </c>
      <c r="F242" s="117"/>
      <c r="G242" s="109">
        <f t="shared" si="18"/>
        <v>228.5</v>
      </c>
      <c r="H242" s="109">
        <f t="shared" si="18"/>
        <v>228.5</v>
      </c>
    </row>
    <row r="243" spans="1:8" ht="33.75" customHeight="1">
      <c r="A243" s="76" t="s">
        <v>340</v>
      </c>
      <c r="B243" s="204" t="s">
        <v>198</v>
      </c>
      <c r="C243" s="117" t="s">
        <v>215</v>
      </c>
      <c r="D243" s="117" t="s">
        <v>213</v>
      </c>
      <c r="E243" s="96" t="s">
        <v>1004</v>
      </c>
      <c r="F243" s="117" t="s">
        <v>341</v>
      </c>
      <c r="G243" s="109">
        <v>228.5</v>
      </c>
      <c r="H243" s="109">
        <f>G243</f>
        <v>228.5</v>
      </c>
    </row>
    <row r="244" spans="1:8" ht="31.5">
      <c r="A244" s="187" t="s">
        <v>766</v>
      </c>
      <c r="B244" s="175" t="s">
        <v>198</v>
      </c>
      <c r="C244" s="175" t="s">
        <v>215</v>
      </c>
      <c r="D244" s="175" t="s">
        <v>213</v>
      </c>
      <c r="E244" s="184" t="s">
        <v>855</v>
      </c>
      <c r="F244" s="174"/>
      <c r="G244" s="177">
        <f t="shared" ref="G244:H245" si="19">G245</f>
        <v>120</v>
      </c>
      <c r="H244" s="177">
        <f t="shared" si="19"/>
        <v>0</v>
      </c>
    </row>
    <row r="245" spans="1:8">
      <c r="A245" s="187" t="s">
        <v>878</v>
      </c>
      <c r="B245" s="175" t="s">
        <v>198</v>
      </c>
      <c r="C245" s="175" t="s">
        <v>215</v>
      </c>
      <c r="D245" s="175" t="s">
        <v>213</v>
      </c>
      <c r="E245" s="184" t="s">
        <v>856</v>
      </c>
      <c r="F245" s="174"/>
      <c r="G245" s="177">
        <f t="shared" si="19"/>
        <v>120</v>
      </c>
      <c r="H245" s="177">
        <f t="shared" si="19"/>
        <v>0</v>
      </c>
    </row>
    <row r="246" spans="1:8" ht="31.5">
      <c r="A246" s="208" t="s">
        <v>267</v>
      </c>
      <c r="B246" s="204" t="s">
        <v>198</v>
      </c>
      <c r="C246" s="117" t="s">
        <v>215</v>
      </c>
      <c r="D246" s="117" t="s">
        <v>213</v>
      </c>
      <c r="E246" s="204" t="s">
        <v>857</v>
      </c>
      <c r="F246" s="341">
        <v>244</v>
      </c>
      <c r="G246" s="199">
        <v>120</v>
      </c>
      <c r="H246" s="465">
        <v>0</v>
      </c>
    </row>
    <row r="247" spans="1:8">
      <c r="A247" s="79" t="s">
        <v>1111</v>
      </c>
      <c r="B247" s="106">
        <v>934</v>
      </c>
      <c r="C247" s="106" t="s">
        <v>215</v>
      </c>
      <c r="D247" s="106" t="s">
        <v>219</v>
      </c>
      <c r="E247" s="106"/>
      <c r="F247" s="106"/>
      <c r="G247" s="107">
        <f>G248</f>
        <v>2717.6763499999997</v>
      </c>
      <c r="H247" s="107">
        <f>H248</f>
        <v>2153.1</v>
      </c>
    </row>
    <row r="248" spans="1:8" ht="31.5">
      <c r="A248" s="173" t="s">
        <v>772</v>
      </c>
      <c r="B248" s="174">
        <v>934</v>
      </c>
      <c r="C248" s="175" t="s">
        <v>215</v>
      </c>
      <c r="D248" s="175" t="s">
        <v>219</v>
      </c>
      <c r="E248" s="501" t="s">
        <v>573</v>
      </c>
      <c r="F248" s="175"/>
      <c r="G248" s="193">
        <f t="shared" ref="G248:H249" si="20">G249</f>
        <v>2717.6763499999997</v>
      </c>
      <c r="H248" s="193">
        <f>H249</f>
        <v>2153.1</v>
      </c>
    </row>
    <row r="249" spans="1:8" ht="47.25">
      <c r="A249" s="178" t="s">
        <v>773</v>
      </c>
      <c r="B249" s="179">
        <v>934</v>
      </c>
      <c r="C249" s="180" t="s">
        <v>215</v>
      </c>
      <c r="D249" s="180" t="s">
        <v>219</v>
      </c>
      <c r="E249" s="186" t="s">
        <v>852</v>
      </c>
      <c r="F249" s="180"/>
      <c r="G249" s="181">
        <f t="shared" si="20"/>
        <v>2717.6763499999997</v>
      </c>
      <c r="H249" s="181">
        <f t="shared" si="20"/>
        <v>2153.1</v>
      </c>
    </row>
    <row r="250" spans="1:8" ht="31.5">
      <c r="A250" s="558" t="s">
        <v>851</v>
      </c>
      <c r="B250" s="340">
        <v>934</v>
      </c>
      <c r="C250" s="200" t="s">
        <v>215</v>
      </c>
      <c r="D250" s="200" t="s">
        <v>219</v>
      </c>
      <c r="E250" s="204" t="s">
        <v>852</v>
      </c>
      <c r="F250" s="200"/>
      <c r="G250" s="201">
        <f>G251+G253</f>
        <v>2717.6763499999997</v>
      </c>
      <c r="H250" s="201">
        <f>H251+H253</f>
        <v>2153.1</v>
      </c>
    </row>
    <row r="251" spans="1:8" ht="31.5">
      <c r="A251" s="221" t="s">
        <v>702</v>
      </c>
      <c r="B251" s="98">
        <v>934</v>
      </c>
      <c r="C251" s="149" t="s">
        <v>215</v>
      </c>
      <c r="D251" s="149" t="s">
        <v>219</v>
      </c>
      <c r="E251" s="149" t="s">
        <v>572</v>
      </c>
      <c r="F251" s="200"/>
      <c r="G251" s="201">
        <f>G252</f>
        <v>2153.1</v>
      </c>
      <c r="H251" s="201">
        <f>H252</f>
        <v>2153.1</v>
      </c>
    </row>
    <row r="252" spans="1:8">
      <c r="A252" s="76" t="s">
        <v>334</v>
      </c>
      <c r="B252" s="98">
        <v>934</v>
      </c>
      <c r="C252" s="149" t="s">
        <v>215</v>
      </c>
      <c r="D252" s="149" t="s">
        <v>219</v>
      </c>
      <c r="E252" s="149" t="s">
        <v>572</v>
      </c>
      <c r="F252" s="96" t="s">
        <v>333</v>
      </c>
      <c r="G252" s="199">
        <v>2153.1</v>
      </c>
      <c r="H252" s="201">
        <f>G252</f>
        <v>2153.1</v>
      </c>
    </row>
    <row r="253" spans="1:8" ht="47.25">
      <c r="A253" s="221" t="s">
        <v>703</v>
      </c>
      <c r="B253" s="98">
        <v>934</v>
      </c>
      <c r="C253" s="158" t="s">
        <v>215</v>
      </c>
      <c r="D253" s="158" t="s">
        <v>219</v>
      </c>
      <c r="E253" s="149" t="s">
        <v>572</v>
      </c>
      <c r="F253" s="96"/>
      <c r="G253" s="199">
        <f>G254</f>
        <v>564.57635000000005</v>
      </c>
      <c r="H253" s="201">
        <v>0</v>
      </c>
    </row>
    <row r="254" spans="1:8">
      <c r="A254" s="76" t="s">
        <v>334</v>
      </c>
      <c r="B254" s="98">
        <v>934</v>
      </c>
      <c r="C254" s="158" t="s">
        <v>215</v>
      </c>
      <c r="D254" s="158" t="s">
        <v>219</v>
      </c>
      <c r="E254" s="149" t="s">
        <v>572</v>
      </c>
      <c r="F254" s="96" t="s">
        <v>333</v>
      </c>
      <c r="G254" s="109">
        <v>564.57635000000005</v>
      </c>
      <c r="H254" s="109">
        <v>0</v>
      </c>
    </row>
    <row r="255" spans="1:8" s="92" customFormat="1">
      <c r="A255" s="79" t="s">
        <v>392</v>
      </c>
      <c r="B255" s="106">
        <v>934</v>
      </c>
      <c r="C255" s="106" t="s">
        <v>215</v>
      </c>
      <c r="D255" s="106" t="s">
        <v>216</v>
      </c>
      <c r="E255" s="106"/>
      <c r="F255" s="106"/>
      <c r="G255" s="107">
        <f>G263+G259+G268</f>
        <v>2841.0999999999995</v>
      </c>
      <c r="H255" s="107">
        <f>H263+H259+H268</f>
        <v>2841.0999999999995</v>
      </c>
    </row>
    <row r="256" spans="1:8" s="92" customFormat="1" ht="64.5" customHeight="1">
      <c r="A256" s="625" t="s">
        <v>1236</v>
      </c>
      <c r="B256" s="183">
        <v>934</v>
      </c>
      <c r="C256" s="183" t="s">
        <v>215</v>
      </c>
      <c r="D256" s="183" t="s">
        <v>216</v>
      </c>
      <c r="E256" s="634" t="s">
        <v>1240</v>
      </c>
      <c r="F256" s="183"/>
      <c r="G256" s="185">
        <f>G257</f>
        <v>2841.0999999999995</v>
      </c>
      <c r="H256" s="185">
        <f>H257</f>
        <v>2841.0999999999995</v>
      </c>
    </row>
    <row r="257" spans="1:8" s="92" customFormat="1" ht="37.5" customHeight="1">
      <c r="A257" s="829" t="s">
        <v>1248</v>
      </c>
      <c r="B257" s="827" t="s">
        <v>198</v>
      </c>
      <c r="C257" s="830">
        <v>10</v>
      </c>
      <c r="D257" s="827" t="s">
        <v>216</v>
      </c>
      <c r="E257" s="827" t="s">
        <v>1241</v>
      </c>
      <c r="F257" s="106"/>
      <c r="G257" s="107">
        <f>G258</f>
        <v>2841.0999999999995</v>
      </c>
      <c r="H257" s="107">
        <f>H258</f>
        <v>2841.0999999999995</v>
      </c>
    </row>
    <row r="258" spans="1:8" s="92" customFormat="1" ht="69.75" customHeight="1">
      <c r="A258" s="575" t="s">
        <v>1245</v>
      </c>
      <c r="B258" s="827" t="s">
        <v>198</v>
      </c>
      <c r="C258" s="830">
        <v>10</v>
      </c>
      <c r="D258" s="827" t="s">
        <v>216</v>
      </c>
      <c r="E258" s="103" t="s">
        <v>1244</v>
      </c>
      <c r="F258" s="106"/>
      <c r="G258" s="107">
        <f>G259+G263+G268</f>
        <v>2841.0999999999995</v>
      </c>
      <c r="H258" s="107">
        <f>H259+H263+H268</f>
        <v>2841.0999999999995</v>
      </c>
    </row>
    <row r="259" spans="1:8" s="160" customFormat="1" ht="59.25" customHeight="1">
      <c r="A259" s="157" t="s">
        <v>181</v>
      </c>
      <c r="B259" s="149">
        <v>934</v>
      </c>
      <c r="C259" s="158" t="s">
        <v>215</v>
      </c>
      <c r="D259" s="158" t="s">
        <v>216</v>
      </c>
      <c r="E259" s="158" t="s">
        <v>1254</v>
      </c>
      <c r="F259" s="158"/>
      <c r="G259" s="121">
        <f>G260+G261+G262</f>
        <v>1378.7</v>
      </c>
      <c r="H259" s="121">
        <f>H260+H261+H262</f>
        <v>1378.7</v>
      </c>
    </row>
    <row r="260" spans="1:8" s="92" customFormat="1">
      <c r="A260" s="76" t="s">
        <v>415</v>
      </c>
      <c r="B260" s="96">
        <v>934</v>
      </c>
      <c r="C260" s="96" t="s">
        <v>215</v>
      </c>
      <c r="D260" s="96" t="s">
        <v>216</v>
      </c>
      <c r="E260" s="158" t="s">
        <v>1254</v>
      </c>
      <c r="F260" s="96" t="s">
        <v>400</v>
      </c>
      <c r="G260" s="109">
        <v>968.42738999999995</v>
      </c>
      <c r="H260" s="109">
        <f>G260</f>
        <v>968.42738999999995</v>
      </c>
    </row>
    <row r="261" spans="1:8" s="92" customFormat="1" ht="47.25">
      <c r="A261" s="195" t="s">
        <v>416</v>
      </c>
      <c r="B261" s="96">
        <v>934</v>
      </c>
      <c r="C261" s="96" t="s">
        <v>215</v>
      </c>
      <c r="D261" s="96" t="s">
        <v>216</v>
      </c>
      <c r="E261" s="158" t="s">
        <v>1254</v>
      </c>
      <c r="F261" s="96" t="s">
        <v>417</v>
      </c>
      <c r="G261" s="109">
        <v>292.46661</v>
      </c>
      <c r="H261" s="109">
        <f>G261</f>
        <v>292.46661</v>
      </c>
    </row>
    <row r="262" spans="1:8" s="92" customFormat="1" ht="31.5">
      <c r="A262" s="152" t="s">
        <v>267</v>
      </c>
      <c r="B262" s="96">
        <v>934</v>
      </c>
      <c r="C262" s="96" t="s">
        <v>215</v>
      </c>
      <c r="D262" s="96" t="s">
        <v>216</v>
      </c>
      <c r="E262" s="158" t="s">
        <v>1254</v>
      </c>
      <c r="F262" s="96" t="s">
        <v>401</v>
      </c>
      <c r="G262" s="109">
        <v>117.806</v>
      </c>
      <c r="H262" s="109">
        <f>G262</f>
        <v>117.806</v>
      </c>
    </row>
    <row r="263" spans="1:8" ht="47.25">
      <c r="A263" s="77" t="s">
        <v>180</v>
      </c>
      <c r="B263" s="96">
        <v>934</v>
      </c>
      <c r="C263" s="95" t="s">
        <v>215</v>
      </c>
      <c r="D263" s="95" t="s">
        <v>216</v>
      </c>
      <c r="E263" s="95" t="s">
        <v>1255</v>
      </c>
      <c r="F263" s="95"/>
      <c r="G263" s="108">
        <f>G264+G265+G266+G267</f>
        <v>1378.6999999999998</v>
      </c>
      <c r="H263" s="108">
        <f>H264+H265+H266+H267</f>
        <v>1378.6999999999998</v>
      </c>
    </row>
    <row r="264" spans="1:8" s="90" customFormat="1">
      <c r="A264" s="76" t="s">
        <v>415</v>
      </c>
      <c r="B264" s="96">
        <v>934</v>
      </c>
      <c r="C264" s="96" t="s">
        <v>215</v>
      </c>
      <c r="D264" s="96" t="s">
        <v>216</v>
      </c>
      <c r="E264" s="95" t="s">
        <v>1255</v>
      </c>
      <c r="F264" s="96" t="s">
        <v>400</v>
      </c>
      <c r="G264" s="109">
        <f>859.6005+37.02+26.88172</f>
        <v>923.50221999999997</v>
      </c>
      <c r="H264" s="109">
        <f>G264</f>
        <v>923.50221999999997</v>
      </c>
    </row>
    <row r="265" spans="1:8" ht="31.5">
      <c r="A265" s="76" t="s">
        <v>10</v>
      </c>
      <c r="B265" s="96">
        <v>934</v>
      </c>
      <c r="C265" s="96" t="s">
        <v>215</v>
      </c>
      <c r="D265" s="96" t="s">
        <v>216</v>
      </c>
      <c r="E265" s="95" t="s">
        <v>1255</v>
      </c>
      <c r="F265" s="96" t="s">
        <v>405</v>
      </c>
      <c r="G265" s="109">
        <v>24.2</v>
      </c>
      <c r="H265" s="109">
        <f>G265</f>
        <v>24.2</v>
      </c>
    </row>
    <row r="266" spans="1:8" ht="47.25">
      <c r="A266" s="195" t="s">
        <v>416</v>
      </c>
      <c r="B266" s="96">
        <v>934</v>
      </c>
      <c r="C266" s="96" t="s">
        <v>215</v>
      </c>
      <c r="D266" s="96" t="s">
        <v>216</v>
      </c>
      <c r="E266" s="95" t="s">
        <v>1255</v>
      </c>
      <c r="F266" s="96" t="s">
        <v>417</v>
      </c>
      <c r="G266" s="109">
        <f>259.5995+11.18+8.11828</f>
        <v>278.89778000000001</v>
      </c>
      <c r="H266" s="109">
        <f>G266</f>
        <v>278.89778000000001</v>
      </c>
    </row>
    <row r="267" spans="1:8" ht="31.5">
      <c r="A267" s="152" t="s">
        <v>267</v>
      </c>
      <c r="B267" s="96">
        <v>934</v>
      </c>
      <c r="C267" s="96" t="s">
        <v>215</v>
      </c>
      <c r="D267" s="96" t="s">
        <v>216</v>
      </c>
      <c r="E267" s="95" t="s">
        <v>1255</v>
      </c>
      <c r="F267" s="96" t="s">
        <v>401</v>
      </c>
      <c r="G267" s="109">
        <v>152.1</v>
      </c>
      <c r="H267" s="109">
        <f>G267</f>
        <v>152.1</v>
      </c>
    </row>
    <row r="268" spans="1:8" ht="77.25" customHeight="1">
      <c r="A268" s="152" t="s">
        <v>1037</v>
      </c>
      <c r="B268" s="96">
        <v>934</v>
      </c>
      <c r="C268" s="96" t="s">
        <v>215</v>
      </c>
      <c r="D268" s="96" t="s">
        <v>216</v>
      </c>
      <c r="E268" s="96" t="s">
        <v>1256</v>
      </c>
      <c r="F268" s="96"/>
      <c r="G268" s="109">
        <f>G269+G270</f>
        <v>83.699999999999989</v>
      </c>
      <c r="H268" s="109">
        <f>H269+H270</f>
        <v>83.699999999999989</v>
      </c>
    </row>
    <row r="269" spans="1:8">
      <c r="A269" s="76" t="s">
        <v>415</v>
      </c>
      <c r="B269" s="96">
        <v>934</v>
      </c>
      <c r="C269" s="96" t="s">
        <v>215</v>
      </c>
      <c r="D269" s="96" t="s">
        <v>216</v>
      </c>
      <c r="E269" s="96" t="s">
        <v>1256</v>
      </c>
      <c r="F269" s="96" t="s">
        <v>400</v>
      </c>
      <c r="G269" s="109">
        <v>64.285709999999995</v>
      </c>
      <c r="H269" s="109">
        <f>G269</f>
        <v>64.285709999999995</v>
      </c>
    </row>
    <row r="270" spans="1:8" ht="47.25">
      <c r="A270" s="195" t="s">
        <v>416</v>
      </c>
      <c r="B270" s="96">
        <v>934</v>
      </c>
      <c r="C270" s="96" t="s">
        <v>215</v>
      </c>
      <c r="D270" s="96" t="s">
        <v>216</v>
      </c>
      <c r="E270" s="96" t="s">
        <v>1256</v>
      </c>
      <c r="F270" s="96" t="s">
        <v>417</v>
      </c>
      <c r="G270" s="109">
        <v>19.414290000000001</v>
      </c>
      <c r="H270" s="109">
        <f>G270</f>
        <v>19.414290000000001</v>
      </c>
    </row>
    <row r="271" spans="1:8">
      <c r="A271" s="80" t="s">
        <v>390</v>
      </c>
      <c r="B271" s="103">
        <v>934</v>
      </c>
      <c r="C271" s="103" t="s">
        <v>218</v>
      </c>
      <c r="D271" s="103"/>
      <c r="E271" s="103"/>
      <c r="F271" s="103"/>
      <c r="G271" s="104">
        <f>G272+G278+G287</f>
        <v>18591.261460000002</v>
      </c>
      <c r="H271" s="104">
        <f>H272+H278+H287</f>
        <v>8401.6</v>
      </c>
    </row>
    <row r="272" spans="1:8">
      <c r="A272" s="79" t="s">
        <v>335</v>
      </c>
      <c r="B272" s="103">
        <v>934</v>
      </c>
      <c r="C272" s="106" t="s">
        <v>218</v>
      </c>
      <c r="D272" s="106" t="s">
        <v>210</v>
      </c>
      <c r="E272" s="106"/>
      <c r="F272" s="106"/>
      <c r="G272" s="107">
        <f t="shared" ref="G272:H273" si="21">G273</f>
        <v>1497.1</v>
      </c>
      <c r="H272" s="107">
        <f t="shared" si="21"/>
        <v>0</v>
      </c>
    </row>
    <row r="273" spans="1:8" ht="31.5">
      <c r="A273" s="173" t="s">
        <v>780</v>
      </c>
      <c r="B273" s="184" t="s">
        <v>198</v>
      </c>
      <c r="C273" s="175" t="s">
        <v>218</v>
      </c>
      <c r="D273" s="175" t="s">
        <v>210</v>
      </c>
      <c r="E273" s="175" t="s">
        <v>576</v>
      </c>
      <c r="F273" s="175"/>
      <c r="G273" s="177">
        <f t="shared" si="21"/>
        <v>1497.1</v>
      </c>
      <c r="H273" s="177">
        <f t="shared" si="21"/>
        <v>0</v>
      </c>
    </row>
    <row r="274" spans="1:8" ht="31.5">
      <c r="A274" s="173" t="s">
        <v>879</v>
      </c>
      <c r="B274" s="184" t="s">
        <v>198</v>
      </c>
      <c r="C274" s="175" t="s">
        <v>218</v>
      </c>
      <c r="D274" s="175" t="s">
        <v>210</v>
      </c>
      <c r="E274" s="175" t="s">
        <v>576</v>
      </c>
      <c r="F274" s="175"/>
      <c r="G274" s="177">
        <f>G275+G276+G277</f>
        <v>1497.1</v>
      </c>
      <c r="H274" s="177">
        <f>H276+H277</f>
        <v>0</v>
      </c>
    </row>
    <row r="275" spans="1:8" s="207" customFormat="1" ht="47.25">
      <c r="A275" s="206" t="s">
        <v>720</v>
      </c>
      <c r="B275" s="96">
        <v>934</v>
      </c>
      <c r="C275" s="96" t="s">
        <v>218</v>
      </c>
      <c r="D275" s="96" t="s">
        <v>210</v>
      </c>
      <c r="E275" s="149" t="s">
        <v>525</v>
      </c>
      <c r="F275" s="200" t="s">
        <v>719</v>
      </c>
      <c r="G275" s="201">
        <v>100</v>
      </c>
      <c r="H275" s="201">
        <v>0</v>
      </c>
    </row>
    <row r="276" spans="1:8" ht="31.5">
      <c r="A276" s="152" t="s">
        <v>267</v>
      </c>
      <c r="B276" s="96">
        <v>934</v>
      </c>
      <c r="C276" s="96" t="s">
        <v>218</v>
      </c>
      <c r="D276" s="96" t="s">
        <v>210</v>
      </c>
      <c r="E276" s="149" t="s">
        <v>525</v>
      </c>
      <c r="F276" s="96" t="s">
        <v>401</v>
      </c>
      <c r="G276" s="109">
        <v>1197.0999999999999</v>
      </c>
      <c r="H276" s="109">
        <v>0</v>
      </c>
    </row>
    <row r="277" spans="1:8">
      <c r="A277" s="573" t="s">
        <v>668</v>
      </c>
      <c r="B277" s="96">
        <v>934</v>
      </c>
      <c r="C277" s="96" t="s">
        <v>218</v>
      </c>
      <c r="D277" s="96" t="s">
        <v>210</v>
      </c>
      <c r="E277" s="149" t="s">
        <v>525</v>
      </c>
      <c r="F277" s="96" t="s">
        <v>667</v>
      </c>
      <c r="G277" s="109">
        <f>150+50</f>
        <v>200</v>
      </c>
      <c r="H277" s="109">
        <v>0</v>
      </c>
    </row>
    <row r="278" spans="1:8">
      <c r="A278" s="79" t="s">
        <v>256</v>
      </c>
      <c r="B278" s="103">
        <v>934</v>
      </c>
      <c r="C278" s="106" t="s">
        <v>218</v>
      </c>
      <c r="D278" s="106" t="s">
        <v>211</v>
      </c>
      <c r="E278" s="106"/>
      <c r="F278" s="106"/>
      <c r="G278" s="107">
        <f>G279</f>
        <v>1529.44991</v>
      </c>
      <c r="H278" s="107">
        <f>H279</f>
        <v>656.40000000000009</v>
      </c>
    </row>
    <row r="279" spans="1:8" ht="31.5">
      <c r="A279" s="173" t="s">
        <v>780</v>
      </c>
      <c r="B279" s="184" t="s">
        <v>198</v>
      </c>
      <c r="C279" s="175" t="s">
        <v>218</v>
      </c>
      <c r="D279" s="175" t="s">
        <v>211</v>
      </c>
      <c r="E279" s="175" t="s">
        <v>576</v>
      </c>
      <c r="F279" s="106"/>
      <c r="G279" s="107">
        <f>G280</f>
        <v>1529.44991</v>
      </c>
      <c r="H279" s="107">
        <f>H280</f>
        <v>656.40000000000009</v>
      </c>
    </row>
    <row r="280" spans="1:8" ht="31.5">
      <c r="A280" s="173" t="s">
        <v>879</v>
      </c>
      <c r="B280" s="184" t="s">
        <v>198</v>
      </c>
      <c r="C280" s="175" t="s">
        <v>218</v>
      </c>
      <c r="D280" s="175" t="s">
        <v>211</v>
      </c>
      <c r="E280" s="175" t="s">
        <v>576</v>
      </c>
      <c r="F280" s="106"/>
      <c r="G280" s="107">
        <f>G281+G284</f>
        <v>1529.44991</v>
      </c>
      <c r="H280" s="107">
        <f>H281+H284</f>
        <v>656.40000000000009</v>
      </c>
    </row>
    <row r="281" spans="1:8">
      <c r="A281" s="77" t="s">
        <v>101</v>
      </c>
      <c r="B281" s="95">
        <v>934</v>
      </c>
      <c r="C281" s="95" t="s">
        <v>218</v>
      </c>
      <c r="D281" s="95" t="s">
        <v>211</v>
      </c>
      <c r="E281" s="95"/>
      <c r="F281" s="95"/>
      <c r="G281" s="109">
        <f>G282+G283</f>
        <v>656.40000000000009</v>
      </c>
      <c r="H281" s="109">
        <f>H282+H283</f>
        <v>656.40000000000009</v>
      </c>
    </row>
    <row r="282" spans="1:8">
      <c r="A282" s="76" t="s">
        <v>600</v>
      </c>
      <c r="B282" s="96" t="s">
        <v>198</v>
      </c>
      <c r="C282" s="96" t="s">
        <v>218</v>
      </c>
      <c r="D282" s="96" t="s">
        <v>211</v>
      </c>
      <c r="E282" s="96" t="s">
        <v>1213</v>
      </c>
      <c r="F282" s="96" t="s">
        <v>423</v>
      </c>
      <c r="G282" s="109">
        <v>504.14746000000002</v>
      </c>
      <c r="H282" s="109">
        <f>G282</f>
        <v>504.14746000000002</v>
      </c>
    </row>
    <row r="283" spans="1:8" ht="47.25">
      <c r="A283" s="550" t="s">
        <v>601</v>
      </c>
      <c r="B283" s="96" t="s">
        <v>198</v>
      </c>
      <c r="C283" s="96" t="s">
        <v>218</v>
      </c>
      <c r="D283" s="96" t="s">
        <v>211</v>
      </c>
      <c r="E283" s="96" t="s">
        <v>1213</v>
      </c>
      <c r="F283" s="96" t="s">
        <v>425</v>
      </c>
      <c r="G283" s="109">
        <v>152.25254000000001</v>
      </c>
      <c r="H283" s="109">
        <f>G283</f>
        <v>152.25254000000001</v>
      </c>
    </row>
    <row r="284" spans="1:8" ht="31.5">
      <c r="A284" s="77" t="s">
        <v>378</v>
      </c>
      <c r="B284" s="96">
        <v>934</v>
      </c>
      <c r="C284" s="95" t="s">
        <v>218</v>
      </c>
      <c r="D284" s="95" t="s">
        <v>211</v>
      </c>
      <c r="E284" s="95"/>
      <c r="F284" s="95"/>
      <c r="G284" s="108">
        <f>G285+G286</f>
        <v>873.04990999999995</v>
      </c>
      <c r="H284" s="108">
        <f>H285+H286</f>
        <v>0</v>
      </c>
    </row>
    <row r="285" spans="1:8">
      <c r="A285" s="76" t="s">
        <v>600</v>
      </c>
      <c r="B285" s="96">
        <v>934</v>
      </c>
      <c r="C285" s="96" t="s">
        <v>218</v>
      </c>
      <c r="D285" s="96" t="s">
        <v>211</v>
      </c>
      <c r="E285" s="96" t="s">
        <v>1213</v>
      </c>
      <c r="F285" s="96" t="s">
        <v>423</v>
      </c>
      <c r="G285" s="109">
        <v>670.54525000000001</v>
      </c>
      <c r="H285" s="109">
        <f>H286</f>
        <v>0</v>
      </c>
    </row>
    <row r="286" spans="1:8" ht="47.25">
      <c r="A286" s="550" t="s">
        <v>601</v>
      </c>
      <c r="B286" s="96">
        <v>934</v>
      </c>
      <c r="C286" s="96" t="s">
        <v>218</v>
      </c>
      <c r="D286" s="96" t="s">
        <v>211</v>
      </c>
      <c r="E286" s="96" t="s">
        <v>1213</v>
      </c>
      <c r="F286" s="96" t="s">
        <v>425</v>
      </c>
      <c r="G286" s="109">
        <v>202.50466</v>
      </c>
      <c r="H286" s="109">
        <v>0</v>
      </c>
    </row>
    <row r="287" spans="1:8">
      <c r="A287" s="601" t="s">
        <v>724</v>
      </c>
      <c r="B287" s="103">
        <v>934</v>
      </c>
      <c r="C287" s="103" t="s">
        <v>218</v>
      </c>
      <c r="D287" s="103" t="s">
        <v>213</v>
      </c>
      <c r="E287" s="336"/>
      <c r="F287" s="103"/>
      <c r="G287" s="104">
        <f>G288</f>
        <v>15564.71155</v>
      </c>
      <c r="H287" s="104">
        <f>H288</f>
        <v>7745.2</v>
      </c>
    </row>
    <row r="288" spans="1:8" ht="31.5">
      <c r="A288" s="173" t="s">
        <v>780</v>
      </c>
      <c r="B288" s="184" t="s">
        <v>198</v>
      </c>
      <c r="C288" s="175" t="s">
        <v>218</v>
      </c>
      <c r="D288" s="175" t="s">
        <v>211</v>
      </c>
      <c r="E288" s="175" t="s">
        <v>576</v>
      </c>
      <c r="F288" s="103"/>
      <c r="G288" s="104">
        <f>G289</f>
        <v>15564.71155</v>
      </c>
      <c r="H288" s="104">
        <f>H289</f>
        <v>7745.2</v>
      </c>
    </row>
    <row r="289" spans="1:8" ht="31.5">
      <c r="A289" s="173" t="s">
        <v>879</v>
      </c>
      <c r="B289" s="184" t="s">
        <v>198</v>
      </c>
      <c r="C289" s="175" t="s">
        <v>218</v>
      </c>
      <c r="D289" s="175" t="s">
        <v>211</v>
      </c>
      <c r="E289" s="175" t="s">
        <v>576</v>
      </c>
      <c r="F289" s="103"/>
      <c r="G289" s="104">
        <f>G290+G292+G294</f>
        <v>15564.71155</v>
      </c>
      <c r="H289" s="104">
        <f>H290+H292+H294</f>
        <v>7745.2</v>
      </c>
    </row>
    <row r="290" spans="1:8" ht="31.5">
      <c r="A290" s="831" t="s">
        <v>1214</v>
      </c>
      <c r="B290" s="96" t="s">
        <v>198</v>
      </c>
      <c r="C290" s="96" t="s">
        <v>218</v>
      </c>
      <c r="D290" s="96" t="s">
        <v>213</v>
      </c>
      <c r="E290" s="149" t="s">
        <v>525</v>
      </c>
      <c r="F290" s="96"/>
      <c r="G290" s="109">
        <f>G291</f>
        <v>3895.7292699999998</v>
      </c>
      <c r="H290" s="109">
        <f>H291</f>
        <v>0</v>
      </c>
    </row>
    <row r="291" spans="1:8">
      <c r="A291" s="76" t="s">
        <v>340</v>
      </c>
      <c r="B291" s="96">
        <v>934</v>
      </c>
      <c r="C291" s="96" t="s">
        <v>218</v>
      </c>
      <c r="D291" s="96" t="s">
        <v>213</v>
      </c>
      <c r="E291" s="149" t="s">
        <v>525</v>
      </c>
      <c r="F291" s="96" t="s">
        <v>341</v>
      </c>
      <c r="G291" s="109">
        <f>822+708+2.5+2363.22927</f>
        <v>3895.7292699999998</v>
      </c>
      <c r="H291" s="109">
        <v>0</v>
      </c>
    </row>
    <row r="292" spans="1:8" ht="31.5">
      <c r="A292" s="77" t="s">
        <v>704</v>
      </c>
      <c r="B292" s="95">
        <v>934</v>
      </c>
      <c r="C292" s="95" t="s">
        <v>218</v>
      </c>
      <c r="D292" s="95" t="s">
        <v>213</v>
      </c>
      <c r="E292" s="587" t="s">
        <v>706</v>
      </c>
      <c r="F292" s="96"/>
      <c r="G292" s="109">
        <f>G293</f>
        <v>7745.2</v>
      </c>
      <c r="H292" s="109">
        <f>H293</f>
        <v>7745.2</v>
      </c>
    </row>
    <row r="293" spans="1:8" ht="47.25">
      <c r="A293" s="76" t="s">
        <v>339</v>
      </c>
      <c r="B293" s="96">
        <v>934</v>
      </c>
      <c r="C293" s="96" t="s">
        <v>218</v>
      </c>
      <c r="D293" s="96" t="s">
        <v>213</v>
      </c>
      <c r="E293" s="588" t="s">
        <v>706</v>
      </c>
      <c r="F293" s="96" t="s">
        <v>409</v>
      </c>
      <c r="G293" s="109">
        <v>7745.2</v>
      </c>
      <c r="H293" s="109">
        <f>G293</f>
        <v>7745.2</v>
      </c>
    </row>
    <row r="294" spans="1:8" ht="31.5">
      <c r="A294" s="77" t="s">
        <v>716</v>
      </c>
      <c r="B294" s="95">
        <v>934</v>
      </c>
      <c r="C294" s="95" t="s">
        <v>218</v>
      </c>
      <c r="D294" s="96" t="s">
        <v>213</v>
      </c>
      <c r="E294" s="587" t="s">
        <v>706</v>
      </c>
      <c r="F294" s="95"/>
      <c r="G294" s="108">
        <f>G295</f>
        <v>3923.7822799999999</v>
      </c>
      <c r="H294" s="108">
        <f>H295</f>
        <v>0</v>
      </c>
    </row>
    <row r="295" spans="1:8" ht="47.25">
      <c r="A295" s="76" t="s">
        <v>339</v>
      </c>
      <c r="B295" s="96">
        <v>934</v>
      </c>
      <c r="C295" s="96" t="s">
        <v>218</v>
      </c>
      <c r="D295" s="96" t="s">
        <v>213</v>
      </c>
      <c r="E295" s="588" t="s">
        <v>706</v>
      </c>
      <c r="F295" s="96" t="s">
        <v>409</v>
      </c>
      <c r="G295" s="109">
        <v>3923.7822799999999</v>
      </c>
      <c r="H295" s="109">
        <v>0</v>
      </c>
    </row>
    <row r="296" spans="1:8" s="92" customFormat="1">
      <c r="A296" s="80" t="s">
        <v>336</v>
      </c>
      <c r="B296" s="103">
        <v>934</v>
      </c>
      <c r="C296" s="103" t="s">
        <v>217</v>
      </c>
      <c r="D296" s="103"/>
      <c r="E296" s="113"/>
      <c r="F296" s="103"/>
      <c r="G296" s="104">
        <f t="shared" ref="G296:H296" si="22">G297</f>
        <v>609.33486000000005</v>
      </c>
      <c r="H296" s="104">
        <f t="shared" si="22"/>
        <v>0</v>
      </c>
    </row>
    <row r="297" spans="1:8" s="91" customFormat="1">
      <c r="A297" s="79" t="s">
        <v>235</v>
      </c>
      <c r="B297" s="103">
        <v>934</v>
      </c>
      <c r="C297" s="106" t="s">
        <v>217</v>
      </c>
      <c r="D297" s="106" t="s">
        <v>211</v>
      </c>
      <c r="E297" s="106"/>
      <c r="F297" s="106"/>
      <c r="G297" s="107">
        <f>G299</f>
        <v>609.33486000000005</v>
      </c>
      <c r="H297" s="107">
        <f>H299</f>
        <v>0</v>
      </c>
    </row>
    <row r="298" spans="1:8" s="91" customFormat="1" ht="54.75" customHeight="1">
      <c r="A298" s="635" t="s">
        <v>776</v>
      </c>
      <c r="B298" s="184">
        <v>934</v>
      </c>
      <c r="C298" s="175" t="s">
        <v>217</v>
      </c>
      <c r="D298" s="175" t="s">
        <v>211</v>
      </c>
      <c r="E298" s="183" t="s">
        <v>527</v>
      </c>
      <c r="F298" s="183"/>
      <c r="G298" s="185">
        <f t="shared" ref="G298:H299" si="23">G299</f>
        <v>609.33486000000005</v>
      </c>
      <c r="H298" s="185">
        <f t="shared" si="23"/>
        <v>0</v>
      </c>
    </row>
    <row r="299" spans="1:8" s="90" customFormat="1" ht="31.5">
      <c r="A299" s="188" t="s">
        <v>931</v>
      </c>
      <c r="B299" s="186">
        <v>934</v>
      </c>
      <c r="C299" s="180" t="s">
        <v>217</v>
      </c>
      <c r="D299" s="180" t="s">
        <v>211</v>
      </c>
      <c r="E299" s="186" t="s">
        <v>1210</v>
      </c>
      <c r="F299" s="180"/>
      <c r="G299" s="181">
        <f>G300</f>
        <v>609.33486000000005</v>
      </c>
      <c r="H299" s="181">
        <f t="shared" si="23"/>
        <v>0</v>
      </c>
    </row>
    <row r="300" spans="1:8" s="90" customFormat="1" ht="31.5">
      <c r="A300" s="221" t="s">
        <v>932</v>
      </c>
      <c r="B300" s="149" t="s">
        <v>198</v>
      </c>
      <c r="C300" s="158" t="s">
        <v>217</v>
      </c>
      <c r="D300" s="158" t="s">
        <v>211</v>
      </c>
      <c r="E300" s="149" t="s">
        <v>504</v>
      </c>
      <c r="F300" s="158"/>
      <c r="G300" s="121">
        <f>G301</f>
        <v>609.33486000000005</v>
      </c>
      <c r="H300" s="121">
        <f>H301</f>
        <v>0</v>
      </c>
    </row>
    <row r="301" spans="1:8" ht="47.25">
      <c r="A301" s="76" t="s">
        <v>339</v>
      </c>
      <c r="B301" s="96">
        <v>934</v>
      </c>
      <c r="C301" s="96" t="s">
        <v>217</v>
      </c>
      <c r="D301" s="96" t="s">
        <v>211</v>
      </c>
      <c r="E301" s="96" t="s">
        <v>504</v>
      </c>
      <c r="F301" s="96" t="s">
        <v>409</v>
      </c>
      <c r="G301" s="109">
        <v>609.33486000000005</v>
      </c>
      <c r="H301" s="109">
        <v>0</v>
      </c>
    </row>
    <row r="302" spans="1:8" ht="47.25">
      <c r="A302" s="80" t="s">
        <v>153</v>
      </c>
      <c r="B302" s="103">
        <v>934</v>
      </c>
      <c r="C302" s="103" t="s">
        <v>223</v>
      </c>
      <c r="D302" s="103"/>
      <c r="E302" s="103"/>
      <c r="F302" s="103"/>
      <c r="G302" s="104">
        <f>G303</f>
        <v>16565.245149999999</v>
      </c>
      <c r="H302" s="104">
        <f>H303</f>
        <v>10217.299999999999</v>
      </c>
    </row>
    <row r="303" spans="1:8" s="92" customFormat="1">
      <c r="A303" s="79" t="s">
        <v>73</v>
      </c>
      <c r="B303" s="106" t="s">
        <v>198</v>
      </c>
      <c r="C303" s="106" t="s">
        <v>223</v>
      </c>
      <c r="D303" s="106" t="s">
        <v>213</v>
      </c>
      <c r="E303" s="106"/>
      <c r="F303" s="106"/>
      <c r="G303" s="107">
        <f>G304+G310+G313+G319+G329+G331+G333</f>
        <v>16565.245149999999</v>
      </c>
      <c r="H303" s="107">
        <f>H304+H310+H313+H319+H329+H331+H333</f>
        <v>10217.299999999999</v>
      </c>
    </row>
    <row r="304" spans="1:8" ht="54.75" customHeight="1">
      <c r="A304" s="614" t="s">
        <v>776</v>
      </c>
      <c r="B304" s="175">
        <v>934</v>
      </c>
      <c r="C304" s="175" t="s">
        <v>223</v>
      </c>
      <c r="D304" s="175" t="s">
        <v>213</v>
      </c>
      <c r="E304" s="175" t="s">
        <v>527</v>
      </c>
      <c r="F304" s="175"/>
      <c r="G304" s="177">
        <f>G305</f>
        <v>1000</v>
      </c>
      <c r="H304" s="177">
        <f>H305</f>
        <v>0</v>
      </c>
    </row>
    <row r="305" spans="1:8" ht="37.5" customHeight="1">
      <c r="A305" s="178" t="s">
        <v>777</v>
      </c>
      <c r="B305" s="186">
        <v>934</v>
      </c>
      <c r="C305" s="186" t="s">
        <v>223</v>
      </c>
      <c r="D305" s="186" t="s">
        <v>213</v>
      </c>
      <c r="E305" s="186" t="s">
        <v>498</v>
      </c>
      <c r="F305" s="186"/>
      <c r="G305" s="194">
        <f>G307+G308</f>
        <v>1000</v>
      </c>
      <c r="H305" s="194">
        <f>H307+H308</f>
        <v>0</v>
      </c>
    </row>
    <row r="306" spans="1:8" ht="37.5" customHeight="1">
      <c r="A306" s="76" t="s">
        <v>880</v>
      </c>
      <c r="B306" s="96">
        <v>934</v>
      </c>
      <c r="C306" s="96" t="s">
        <v>223</v>
      </c>
      <c r="D306" s="96" t="s">
        <v>213</v>
      </c>
      <c r="E306" s="96" t="s">
        <v>858</v>
      </c>
      <c r="F306" s="149"/>
      <c r="G306" s="148">
        <f>G307</f>
        <v>1000</v>
      </c>
      <c r="H306" s="148">
        <v>0</v>
      </c>
    </row>
    <row r="307" spans="1:8" ht="24" customHeight="1">
      <c r="A307" s="76" t="s">
        <v>399</v>
      </c>
      <c r="B307" s="96">
        <v>934</v>
      </c>
      <c r="C307" s="96" t="s">
        <v>223</v>
      </c>
      <c r="D307" s="96" t="s">
        <v>213</v>
      </c>
      <c r="E307" s="96" t="s">
        <v>859</v>
      </c>
      <c r="F307" s="96" t="s">
        <v>410</v>
      </c>
      <c r="G307" s="109">
        <v>1000</v>
      </c>
      <c r="H307" s="109">
        <v>0</v>
      </c>
    </row>
    <row r="308" spans="1:8" ht="53.25" hidden="1" customHeight="1">
      <c r="A308" s="76" t="s">
        <v>732</v>
      </c>
      <c r="B308" s="96">
        <v>934</v>
      </c>
      <c r="C308" s="96" t="s">
        <v>223</v>
      </c>
      <c r="D308" s="96" t="s">
        <v>213</v>
      </c>
      <c r="E308" s="96" t="s">
        <v>1051</v>
      </c>
      <c r="F308" s="96"/>
      <c r="G308" s="109">
        <f>G309</f>
        <v>0</v>
      </c>
      <c r="H308" s="109">
        <f>H309</f>
        <v>0</v>
      </c>
    </row>
    <row r="309" spans="1:8" ht="24" hidden="1" customHeight="1">
      <c r="A309" s="76" t="s">
        <v>399</v>
      </c>
      <c r="B309" s="96">
        <v>934</v>
      </c>
      <c r="C309" s="96" t="s">
        <v>223</v>
      </c>
      <c r="D309" s="96" t="s">
        <v>213</v>
      </c>
      <c r="E309" s="96" t="s">
        <v>1051</v>
      </c>
      <c r="F309" s="96" t="s">
        <v>410</v>
      </c>
      <c r="G309" s="109"/>
      <c r="H309" s="109">
        <f>G309</f>
        <v>0</v>
      </c>
    </row>
    <row r="310" spans="1:8" s="91" customFormat="1" ht="31.5">
      <c r="A310" s="614" t="s">
        <v>781</v>
      </c>
      <c r="B310" s="615">
        <v>934</v>
      </c>
      <c r="C310" s="615">
        <v>14</v>
      </c>
      <c r="D310" s="616" t="s">
        <v>213</v>
      </c>
      <c r="E310" s="616" t="s">
        <v>755</v>
      </c>
      <c r="F310" s="615"/>
      <c r="G310" s="617">
        <f t="shared" ref="G310:H311" si="24">G311</f>
        <v>113.0228</v>
      </c>
      <c r="H310" s="193">
        <f t="shared" si="24"/>
        <v>0</v>
      </c>
    </row>
    <row r="311" spans="1:8" s="91" customFormat="1">
      <c r="A311" s="503" t="s">
        <v>881</v>
      </c>
      <c r="B311" s="474">
        <v>934</v>
      </c>
      <c r="C311" s="474">
        <v>14</v>
      </c>
      <c r="D311" s="504" t="s">
        <v>213</v>
      </c>
      <c r="E311" s="149" t="s">
        <v>755</v>
      </c>
      <c r="F311" s="474"/>
      <c r="G311" s="534">
        <f t="shared" si="24"/>
        <v>113.0228</v>
      </c>
      <c r="H311" s="109">
        <f t="shared" si="24"/>
        <v>0</v>
      </c>
    </row>
    <row r="312" spans="1:8" s="91" customFormat="1">
      <c r="A312" s="503" t="s">
        <v>399</v>
      </c>
      <c r="B312" s="474">
        <v>934</v>
      </c>
      <c r="C312" s="474">
        <v>14</v>
      </c>
      <c r="D312" s="504" t="s">
        <v>213</v>
      </c>
      <c r="E312" s="149" t="s">
        <v>755</v>
      </c>
      <c r="F312" s="474">
        <v>540</v>
      </c>
      <c r="G312" s="534">
        <v>113.0228</v>
      </c>
      <c r="H312" s="109">
        <v>0</v>
      </c>
    </row>
    <row r="313" spans="1:8" s="91" customFormat="1" ht="31.5">
      <c r="A313" s="192" t="s">
        <v>1114</v>
      </c>
      <c r="B313" s="615">
        <v>934</v>
      </c>
      <c r="C313" s="615">
        <v>14</v>
      </c>
      <c r="D313" s="616" t="s">
        <v>213</v>
      </c>
      <c r="E313" s="184" t="s">
        <v>634</v>
      </c>
      <c r="F313" s="615"/>
      <c r="G313" s="617">
        <f>G315+G317</f>
        <v>10227.5173</v>
      </c>
      <c r="H313" s="617">
        <f>H315+H317</f>
        <v>10217.299999999999</v>
      </c>
    </row>
    <row r="314" spans="1:8" s="91" customFormat="1" ht="47.25">
      <c r="A314" s="192" t="s">
        <v>882</v>
      </c>
      <c r="B314" s="615">
        <v>934</v>
      </c>
      <c r="C314" s="615">
        <v>14</v>
      </c>
      <c r="D314" s="616" t="s">
        <v>213</v>
      </c>
      <c r="E314" s="184" t="s">
        <v>634</v>
      </c>
      <c r="F314" s="615"/>
      <c r="G314" s="617">
        <f>G315+G317</f>
        <v>10227.5173</v>
      </c>
      <c r="H314" s="617">
        <f>H315+H317</f>
        <v>10217.299999999999</v>
      </c>
    </row>
    <row r="315" spans="1:8" s="91" customFormat="1" ht="47.25">
      <c r="A315" s="77" t="s">
        <v>1115</v>
      </c>
      <c r="B315" s="97">
        <v>934</v>
      </c>
      <c r="C315" s="95" t="s">
        <v>223</v>
      </c>
      <c r="D315" s="95" t="s">
        <v>213</v>
      </c>
      <c r="E315" s="230" t="s">
        <v>634</v>
      </c>
      <c r="F315" s="95"/>
      <c r="G315" s="108">
        <f>G316</f>
        <v>10217.299999999999</v>
      </c>
      <c r="H315" s="108">
        <f>H316</f>
        <v>10217.299999999999</v>
      </c>
    </row>
    <row r="316" spans="1:8" s="91" customFormat="1">
      <c r="A316" s="76" t="s">
        <v>399</v>
      </c>
      <c r="B316" s="98">
        <v>934</v>
      </c>
      <c r="C316" s="96" t="s">
        <v>223</v>
      </c>
      <c r="D316" s="96" t="s">
        <v>213</v>
      </c>
      <c r="E316" s="230" t="s">
        <v>634</v>
      </c>
      <c r="F316" s="96" t="s">
        <v>410</v>
      </c>
      <c r="G316" s="109">
        <v>10217.299999999999</v>
      </c>
      <c r="H316" s="109">
        <f>G316</f>
        <v>10217.299999999999</v>
      </c>
    </row>
    <row r="317" spans="1:8" s="91" customFormat="1" ht="47.25">
      <c r="A317" s="77" t="s">
        <v>1116</v>
      </c>
      <c r="B317" s="97">
        <v>934</v>
      </c>
      <c r="C317" s="95" t="s">
        <v>223</v>
      </c>
      <c r="D317" s="95" t="s">
        <v>213</v>
      </c>
      <c r="E317" s="230" t="s">
        <v>634</v>
      </c>
      <c r="F317" s="95"/>
      <c r="G317" s="109">
        <f>G318</f>
        <v>10.2173</v>
      </c>
      <c r="H317" s="109">
        <f>H318</f>
        <v>0</v>
      </c>
    </row>
    <row r="318" spans="1:8" s="91" customFormat="1">
      <c r="A318" s="76" t="s">
        <v>399</v>
      </c>
      <c r="B318" s="98">
        <v>934</v>
      </c>
      <c r="C318" s="96" t="s">
        <v>223</v>
      </c>
      <c r="D318" s="96" t="s">
        <v>213</v>
      </c>
      <c r="E318" s="230" t="s">
        <v>634</v>
      </c>
      <c r="F318" s="96" t="s">
        <v>410</v>
      </c>
      <c r="G318" s="109">
        <v>10.2173</v>
      </c>
      <c r="H318" s="109">
        <v>0</v>
      </c>
    </row>
    <row r="319" spans="1:8" s="91" customFormat="1" ht="39" customHeight="1">
      <c r="A319" s="187" t="s">
        <v>734</v>
      </c>
      <c r="B319" s="175" t="s">
        <v>198</v>
      </c>
      <c r="C319" s="175" t="s">
        <v>223</v>
      </c>
      <c r="D319" s="175" t="s">
        <v>213</v>
      </c>
      <c r="E319" s="175" t="s">
        <v>551</v>
      </c>
      <c r="F319" s="175"/>
      <c r="G319" s="177">
        <f>G320+G325+G327</f>
        <v>1328.4302499999999</v>
      </c>
      <c r="H319" s="177">
        <f>H320</f>
        <v>0</v>
      </c>
    </row>
    <row r="320" spans="1:8" s="91" customFormat="1" ht="39" customHeight="1">
      <c r="A320" s="187" t="s">
        <v>883</v>
      </c>
      <c r="B320" s="175" t="s">
        <v>198</v>
      </c>
      <c r="C320" s="175" t="s">
        <v>223</v>
      </c>
      <c r="D320" s="175" t="s">
        <v>213</v>
      </c>
      <c r="E320" s="175" t="s">
        <v>853</v>
      </c>
      <c r="F320" s="175"/>
      <c r="G320" s="177">
        <f>G323+G321</f>
        <v>476.8499999999998</v>
      </c>
      <c r="H320" s="177">
        <f>H323+H321</f>
        <v>0</v>
      </c>
    </row>
    <row r="321" spans="1:8" s="91" customFormat="1" ht="84.75" hidden="1" customHeight="1">
      <c r="A321" s="219" t="s">
        <v>1050</v>
      </c>
      <c r="B321" s="200" t="s">
        <v>198</v>
      </c>
      <c r="C321" s="200" t="s">
        <v>223</v>
      </c>
      <c r="D321" s="200" t="s">
        <v>213</v>
      </c>
      <c r="E321" s="96" t="s">
        <v>860</v>
      </c>
      <c r="F321" s="204"/>
      <c r="G321" s="201">
        <f>G322</f>
        <v>0</v>
      </c>
      <c r="H321" s="201">
        <f>H322</f>
        <v>0</v>
      </c>
    </row>
    <row r="322" spans="1:8" s="91" customFormat="1" ht="39" hidden="1" customHeight="1">
      <c r="A322" s="76" t="s">
        <v>399</v>
      </c>
      <c r="B322" s="474">
        <v>934</v>
      </c>
      <c r="C322" s="98">
        <v>14</v>
      </c>
      <c r="D322" s="96" t="s">
        <v>213</v>
      </c>
      <c r="E322" s="96" t="s">
        <v>860</v>
      </c>
      <c r="F322" s="98">
        <v>540</v>
      </c>
      <c r="G322" s="201"/>
      <c r="H322" s="201">
        <f>G322</f>
        <v>0</v>
      </c>
    </row>
    <row r="323" spans="1:8" s="91" customFormat="1" ht="99" customHeight="1">
      <c r="A323" s="219" t="s">
        <v>736</v>
      </c>
      <c r="B323" s="200" t="s">
        <v>198</v>
      </c>
      <c r="C323" s="200" t="s">
        <v>223</v>
      </c>
      <c r="D323" s="200" t="s">
        <v>213</v>
      </c>
      <c r="E323" s="96" t="s">
        <v>860</v>
      </c>
      <c r="F323" s="204"/>
      <c r="G323" s="201">
        <f>G324</f>
        <v>476.8499999999998</v>
      </c>
      <c r="H323" s="109">
        <f>H324</f>
        <v>0</v>
      </c>
    </row>
    <row r="324" spans="1:8" s="91" customFormat="1">
      <c r="A324" s="503" t="s">
        <v>399</v>
      </c>
      <c r="B324" s="474">
        <v>934</v>
      </c>
      <c r="C324" s="474">
        <v>14</v>
      </c>
      <c r="D324" s="504" t="s">
        <v>213</v>
      </c>
      <c r="E324" s="96" t="s">
        <v>860</v>
      </c>
      <c r="F324" s="474">
        <v>540</v>
      </c>
      <c r="G324" s="502">
        <f>1328.43025-167.09481-684.48544</f>
        <v>476.8499999999998</v>
      </c>
      <c r="H324" s="109">
        <v>0</v>
      </c>
    </row>
    <row r="325" spans="1:8" s="91" customFormat="1" ht="33" customHeight="1">
      <c r="A325" s="192" t="s">
        <v>1318</v>
      </c>
      <c r="B325" s="615">
        <v>934</v>
      </c>
      <c r="C325" s="615">
        <v>14</v>
      </c>
      <c r="D325" s="616" t="s">
        <v>213</v>
      </c>
      <c r="E325" s="616" t="s">
        <v>1316</v>
      </c>
      <c r="F325" s="615"/>
      <c r="G325" s="617">
        <f>G326</f>
        <v>167.09481</v>
      </c>
      <c r="H325" s="193">
        <v>0</v>
      </c>
    </row>
    <row r="326" spans="1:8" s="91" customFormat="1">
      <c r="A326" s="76" t="s">
        <v>399</v>
      </c>
      <c r="B326" s="474">
        <v>934</v>
      </c>
      <c r="C326" s="474">
        <v>14</v>
      </c>
      <c r="D326" s="504" t="s">
        <v>213</v>
      </c>
      <c r="E326" s="504" t="s">
        <v>1316</v>
      </c>
      <c r="F326" s="474">
        <v>540</v>
      </c>
      <c r="G326" s="534">
        <v>167.09481</v>
      </c>
      <c r="H326" s="109">
        <v>0</v>
      </c>
    </row>
    <row r="327" spans="1:8" s="91" customFormat="1" ht="31.5">
      <c r="A327" s="192" t="s">
        <v>1319</v>
      </c>
      <c r="B327" s="615">
        <v>934</v>
      </c>
      <c r="C327" s="615">
        <v>14</v>
      </c>
      <c r="D327" s="616" t="s">
        <v>213</v>
      </c>
      <c r="E327" s="616" t="s">
        <v>1317</v>
      </c>
      <c r="F327" s="615"/>
      <c r="G327" s="617">
        <f>G328</f>
        <v>684.48544000000004</v>
      </c>
      <c r="H327" s="193">
        <v>0</v>
      </c>
    </row>
    <row r="328" spans="1:8" s="91" customFormat="1">
      <c r="A328" s="76" t="s">
        <v>399</v>
      </c>
      <c r="B328" s="474">
        <v>934</v>
      </c>
      <c r="C328" s="474">
        <v>14</v>
      </c>
      <c r="D328" s="504" t="s">
        <v>213</v>
      </c>
      <c r="E328" s="504" t="s">
        <v>1317</v>
      </c>
      <c r="F328" s="474">
        <v>540</v>
      </c>
      <c r="G328" s="534">
        <v>684.48544000000004</v>
      </c>
      <c r="H328" s="109">
        <v>0</v>
      </c>
    </row>
    <row r="329" spans="1:8" s="91" customFormat="1" ht="30.75" customHeight="1">
      <c r="A329" s="77" t="s">
        <v>861</v>
      </c>
      <c r="B329" s="474">
        <v>934</v>
      </c>
      <c r="C329" s="474">
        <v>14</v>
      </c>
      <c r="D329" s="504" t="s">
        <v>213</v>
      </c>
      <c r="E329" s="504"/>
      <c r="F329" s="474"/>
      <c r="G329" s="534">
        <f>G330</f>
        <v>162.86580000000001</v>
      </c>
      <c r="H329" s="109">
        <f>H330</f>
        <v>0</v>
      </c>
    </row>
    <row r="330" spans="1:8" s="91" customFormat="1">
      <c r="A330" s="503" t="s">
        <v>399</v>
      </c>
      <c r="B330" s="474">
        <v>934</v>
      </c>
      <c r="C330" s="474">
        <v>14</v>
      </c>
      <c r="D330" s="504" t="s">
        <v>213</v>
      </c>
      <c r="E330" s="230" t="s">
        <v>765</v>
      </c>
      <c r="F330" s="474">
        <v>540</v>
      </c>
      <c r="G330" s="534">
        <v>162.86580000000001</v>
      </c>
      <c r="H330" s="109">
        <v>0</v>
      </c>
    </row>
    <row r="331" spans="1:8" s="91" customFormat="1" ht="31.5">
      <c r="A331" s="614" t="s">
        <v>756</v>
      </c>
      <c r="B331" s="859">
        <v>934</v>
      </c>
      <c r="C331" s="859">
        <v>14</v>
      </c>
      <c r="D331" s="634" t="s">
        <v>213</v>
      </c>
      <c r="E331" s="867" t="s">
        <v>757</v>
      </c>
      <c r="F331" s="871"/>
      <c r="G331" s="872">
        <f>G332</f>
        <v>3633.4090000000001</v>
      </c>
      <c r="H331" s="460">
        <v>0</v>
      </c>
    </row>
    <row r="332" spans="1:8" s="91" customFormat="1">
      <c r="A332" s="503" t="s">
        <v>399</v>
      </c>
      <c r="B332" s="98">
        <v>934</v>
      </c>
      <c r="C332" s="98">
        <v>14</v>
      </c>
      <c r="D332" s="96" t="s">
        <v>213</v>
      </c>
      <c r="E332" s="626" t="s">
        <v>757</v>
      </c>
      <c r="F332" s="474">
        <v>540</v>
      </c>
      <c r="G332" s="534">
        <v>3633.4090000000001</v>
      </c>
      <c r="H332" s="109">
        <v>0</v>
      </c>
    </row>
    <row r="333" spans="1:8" s="91" customFormat="1" ht="31.5">
      <c r="A333" s="614" t="s">
        <v>692</v>
      </c>
      <c r="B333" s="859">
        <v>934</v>
      </c>
      <c r="C333" s="859">
        <v>14</v>
      </c>
      <c r="D333" s="634" t="s">
        <v>213</v>
      </c>
      <c r="E333" s="867"/>
      <c r="F333" s="871"/>
      <c r="G333" s="872">
        <f>G334</f>
        <v>100</v>
      </c>
      <c r="H333" s="460">
        <v>0</v>
      </c>
    </row>
    <row r="334" spans="1:8" s="91" customFormat="1">
      <c r="A334" s="503" t="s">
        <v>399</v>
      </c>
      <c r="B334" s="98">
        <v>934</v>
      </c>
      <c r="C334" s="98">
        <v>14</v>
      </c>
      <c r="D334" s="96" t="s">
        <v>213</v>
      </c>
      <c r="E334" s="626" t="s">
        <v>528</v>
      </c>
      <c r="F334" s="474">
        <v>540</v>
      </c>
      <c r="G334" s="534">
        <v>100</v>
      </c>
      <c r="H334" s="109">
        <v>0</v>
      </c>
    </row>
    <row r="335" spans="1:8" s="92" customFormat="1">
      <c r="A335" s="123" t="s">
        <v>111</v>
      </c>
      <c r="B335" s="100" t="s">
        <v>112</v>
      </c>
      <c r="C335" s="100"/>
      <c r="D335" s="100"/>
      <c r="E335" s="100"/>
      <c r="F335" s="100"/>
      <c r="G335" s="101">
        <f>G336+G528</f>
        <v>770633.87661000015</v>
      </c>
      <c r="H335" s="101">
        <f>H336+H528</f>
        <v>594145.00000000012</v>
      </c>
    </row>
    <row r="336" spans="1:8">
      <c r="A336" s="80" t="s">
        <v>396</v>
      </c>
      <c r="B336" s="103" t="s">
        <v>112</v>
      </c>
      <c r="C336" s="103" t="s">
        <v>212</v>
      </c>
      <c r="D336" s="103"/>
      <c r="E336" s="103"/>
      <c r="F336" s="103"/>
      <c r="G336" s="104">
        <f>G337+G373+G433+G457+G483</f>
        <v>767633.87661000015</v>
      </c>
      <c r="H336" s="104">
        <f>H337+H373+H433+H457+H483</f>
        <v>591145.00000000012</v>
      </c>
    </row>
    <row r="337" spans="1:8">
      <c r="A337" s="80" t="s">
        <v>345</v>
      </c>
      <c r="B337" s="103" t="s">
        <v>112</v>
      </c>
      <c r="C337" s="103" t="s">
        <v>212</v>
      </c>
      <c r="D337" s="103" t="s">
        <v>210</v>
      </c>
      <c r="E337" s="103"/>
      <c r="F337" s="103"/>
      <c r="G337" s="122">
        <f>G338+G341+G369</f>
        <v>132081.74926000001</v>
      </c>
      <c r="H337" s="122">
        <f>H338+H341+H369</f>
        <v>78200.229000000007</v>
      </c>
    </row>
    <row r="338" spans="1:8" ht="47.25">
      <c r="A338" s="614" t="s">
        <v>771</v>
      </c>
      <c r="B338" s="634" t="s">
        <v>112</v>
      </c>
      <c r="C338" s="634" t="s">
        <v>212</v>
      </c>
      <c r="D338" s="634" t="s">
        <v>210</v>
      </c>
      <c r="E338" s="634" t="s">
        <v>517</v>
      </c>
      <c r="F338" s="634"/>
      <c r="G338" s="460">
        <f t="shared" ref="G338:H339" si="25">G339</f>
        <v>160</v>
      </c>
      <c r="H338" s="460">
        <f t="shared" si="25"/>
        <v>0</v>
      </c>
    </row>
    <row r="339" spans="1:8" ht="31.5">
      <c r="A339" s="173" t="s">
        <v>877</v>
      </c>
      <c r="B339" s="174">
        <v>936</v>
      </c>
      <c r="C339" s="175" t="s">
        <v>212</v>
      </c>
      <c r="D339" s="175" t="s">
        <v>210</v>
      </c>
      <c r="E339" s="175" t="s">
        <v>517</v>
      </c>
      <c r="F339" s="634"/>
      <c r="G339" s="460">
        <f t="shared" si="25"/>
        <v>160</v>
      </c>
      <c r="H339" s="460">
        <f t="shared" si="25"/>
        <v>0</v>
      </c>
    </row>
    <row r="340" spans="1:8">
      <c r="A340" s="76" t="s">
        <v>263</v>
      </c>
      <c r="B340" s="96" t="s">
        <v>112</v>
      </c>
      <c r="C340" s="96" t="s">
        <v>212</v>
      </c>
      <c r="D340" s="96" t="s">
        <v>210</v>
      </c>
      <c r="E340" s="96" t="s">
        <v>517</v>
      </c>
      <c r="F340" s="96" t="s">
        <v>260</v>
      </c>
      <c r="G340" s="148">
        <v>160</v>
      </c>
      <c r="H340" s="148">
        <v>0</v>
      </c>
    </row>
    <row r="341" spans="1:8" s="91" customFormat="1" ht="47.25">
      <c r="A341" s="173" t="s">
        <v>694</v>
      </c>
      <c r="B341" s="184" t="s">
        <v>112</v>
      </c>
      <c r="C341" s="184" t="s">
        <v>212</v>
      </c>
      <c r="D341" s="184" t="s">
        <v>210</v>
      </c>
      <c r="E341" s="184" t="s">
        <v>800</v>
      </c>
      <c r="F341" s="184"/>
      <c r="G341" s="193">
        <f>G342+G358+G363</f>
        <v>129953.47926000001</v>
      </c>
      <c r="H341" s="193">
        <f>H342</f>
        <v>78200.229000000007</v>
      </c>
    </row>
    <row r="342" spans="1:8" ht="31.5">
      <c r="A342" s="178" t="s">
        <v>443</v>
      </c>
      <c r="B342" s="180" t="s">
        <v>112</v>
      </c>
      <c r="C342" s="180" t="s">
        <v>212</v>
      </c>
      <c r="D342" s="180" t="s">
        <v>210</v>
      </c>
      <c r="E342" s="180" t="s">
        <v>801</v>
      </c>
      <c r="F342" s="180"/>
      <c r="G342" s="181">
        <f>G343+G346+G349+G352+G354+G356</f>
        <v>126696.32326</v>
      </c>
      <c r="H342" s="181">
        <f>H343+H346+H349+H352+H354+H356</f>
        <v>78200.229000000007</v>
      </c>
    </row>
    <row r="343" spans="1:8" ht="47.25">
      <c r="A343" s="637" t="s">
        <v>802</v>
      </c>
      <c r="B343" s="190">
        <v>936</v>
      </c>
      <c r="C343" s="158" t="s">
        <v>212</v>
      </c>
      <c r="D343" s="158" t="s">
        <v>210</v>
      </c>
      <c r="E343" s="200" t="s">
        <v>803</v>
      </c>
      <c r="F343" s="158"/>
      <c r="G343" s="121">
        <f>G344+G345</f>
        <v>48496.094259999998</v>
      </c>
      <c r="H343" s="121">
        <v>0</v>
      </c>
    </row>
    <row r="344" spans="1:8" ht="47.25">
      <c r="A344" s="76" t="s">
        <v>262</v>
      </c>
      <c r="B344" s="96" t="s">
        <v>112</v>
      </c>
      <c r="C344" s="96" t="s">
        <v>212</v>
      </c>
      <c r="D344" s="96" t="s">
        <v>210</v>
      </c>
      <c r="E344" s="149" t="s">
        <v>804</v>
      </c>
      <c r="F344" s="96" t="s">
        <v>408</v>
      </c>
      <c r="G344" s="199">
        <f>4928.97084+4971.79+78.03293+12772.39888+10718.16642+4313.7</f>
        <v>37783.059069999996</v>
      </c>
      <c r="H344" s="387">
        <v>0</v>
      </c>
    </row>
    <row r="345" spans="1:8" s="92" customFormat="1" ht="47.25">
      <c r="A345" s="76" t="s">
        <v>339</v>
      </c>
      <c r="B345" s="96" t="s">
        <v>112</v>
      </c>
      <c r="C345" s="96" t="s">
        <v>212</v>
      </c>
      <c r="D345" s="96" t="s">
        <v>210</v>
      </c>
      <c r="E345" s="149" t="s">
        <v>804</v>
      </c>
      <c r="F345" s="96" t="s">
        <v>409</v>
      </c>
      <c r="G345" s="199">
        <f>2493.906+127.865+47.48051+4220.15029+3823.63339</f>
        <v>10713.035189999999</v>
      </c>
      <c r="H345" s="387">
        <v>0</v>
      </c>
    </row>
    <row r="346" spans="1:8" s="92" customFormat="1" ht="31.5">
      <c r="A346" s="157" t="s">
        <v>346</v>
      </c>
      <c r="B346" s="158" t="s">
        <v>112</v>
      </c>
      <c r="C346" s="158" t="s">
        <v>212</v>
      </c>
      <c r="D346" s="158" t="s">
        <v>210</v>
      </c>
      <c r="E346" s="158" t="s">
        <v>805</v>
      </c>
      <c r="F346" s="149"/>
      <c r="G346" s="148">
        <f>G347+G348</f>
        <v>74140.413</v>
      </c>
      <c r="H346" s="148">
        <f>H347+H348</f>
        <v>74140.413</v>
      </c>
    </row>
    <row r="347" spans="1:8" s="92" customFormat="1">
      <c r="A347" s="169" t="s">
        <v>263</v>
      </c>
      <c r="B347" s="149" t="s">
        <v>112</v>
      </c>
      <c r="C347" s="149" t="s">
        <v>212</v>
      </c>
      <c r="D347" s="149" t="s">
        <v>210</v>
      </c>
      <c r="E347" s="149" t="s">
        <v>805</v>
      </c>
      <c r="F347" s="149" t="s">
        <v>260</v>
      </c>
      <c r="G347" s="148">
        <v>43166.832000000002</v>
      </c>
      <c r="H347" s="148">
        <f>G347</f>
        <v>43166.832000000002</v>
      </c>
    </row>
    <row r="348" spans="1:8" s="92" customFormat="1">
      <c r="A348" s="169" t="s">
        <v>340</v>
      </c>
      <c r="B348" s="149" t="s">
        <v>112</v>
      </c>
      <c r="C348" s="149" t="s">
        <v>212</v>
      </c>
      <c r="D348" s="149" t="s">
        <v>210</v>
      </c>
      <c r="E348" s="149" t="s">
        <v>805</v>
      </c>
      <c r="F348" s="149" t="s">
        <v>341</v>
      </c>
      <c r="G348" s="148">
        <v>30973.580999999998</v>
      </c>
      <c r="H348" s="148">
        <f>G348</f>
        <v>30973.580999999998</v>
      </c>
    </row>
    <row r="349" spans="1:8" s="92" customFormat="1" ht="63">
      <c r="A349" s="74" t="s">
        <v>789</v>
      </c>
      <c r="B349" s="149" t="s">
        <v>112</v>
      </c>
      <c r="C349" s="149" t="s">
        <v>212</v>
      </c>
      <c r="D349" s="149" t="s">
        <v>210</v>
      </c>
      <c r="E349" s="149" t="s">
        <v>984</v>
      </c>
      <c r="F349" s="149"/>
      <c r="G349" s="148">
        <f>G350+G351</f>
        <v>4059.8159999999998</v>
      </c>
      <c r="H349" s="148">
        <f>H350+H351</f>
        <v>4059.8159999999998</v>
      </c>
    </row>
    <row r="350" spans="1:8" s="92" customFormat="1">
      <c r="A350" s="169" t="s">
        <v>263</v>
      </c>
      <c r="B350" s="149" t="s">
        <v>112</v>
      </c>
      <c r="C350" s="149" t="s">
        <v>212</v>
      </c>
      <c r="D350" s="149" t="s">
        <v>210</v>
      </c>
      <c r="E350" s="149" t="s">
        <v>984</v>
      </c>
      <c r="F350" s="149" t="s">
        <v>260</v>
      </c>
      <c r="G350" s="148">
        <v>1875.6</v>
      </c>
      <c r="H350" s="148">
        <f>G350</f>
        <v>1875.6</v>
      </c>
    </row>
    <row r="351" spans="1:8" s="92" customFormat="1">
      <c r="A351" s="169" t="s">
        <v>340</v>
      </c>
      <c r="B351" s="149" t="s">
        <v>112</v>
      </c>
      <c r="C351" s="149" t="s">
        <v>212</v>
      </c>
      <c r="D351" s="149" t="s">
        <v>210</v>
      </c>
      <c r="E351" s="149" t="s">
        <v>984</v>
      </c>
      <c r="F351" s="149" t="s">
        <v>341</v>
      </c>
      <c r="G351" s="148">
        <v>2184.2159999999999</v>
      </c>
      <c r="H351" s="148">
        <f>G351</f>
        <v>2184.2159999999999</v>
      </c>
    </row>
    <row r="352" spans="1:8" s="92" customFormat="1" ht="63" hidden="1">
      <c r="A352" s="76" t="s">
        <v>1071</v>
      </c>
      <c r="B352" s="96" t="s">
        <v>112</v>
      </c>
      <c r="C352" s="96" t="s">
        <v>212</v>
      </c>
      <c r="D352" s="96" t="s">
        <v>210</v>
      </c>
      <c r="E352" s="149" t="s">
        <v>1072</v>
      </c>
      <c r="F352" s="96"/>
      <c r="G352" s="148">
        <f>G353</f>
        <v>0</v>
      </c>
      <c r="H352" s="148">
        <f>H353</f>
        <v>0</v>
      </c>
    </row>
    <row r="353" spans="1:8" s="92" customFormat="1" hidden="1">
      <c r="A353" s="76" t="s">
        <v>263</v>
      </c>
      <c r="B353" s="96" t="s">
        <v>112</v>
      </c>
      <c r="C353" s="96" t="s">
        <v>212</v>
      </c>
      <c r="D353" s="96" t="s">
        <v>210</v>
      </c>
      <c r="E353" s="149" t="s">
        <v>1072</v>
      </c>
      <c r="F353" s="96" t="s">
        <v>260</v>
      </c>
      <c r="G353" s="148"/>
      <c r="H353" s="148">
        <f>G353</f>
        <v>0</v>
      </c>
    </row>
    <row r="354" spans="1:8" s="92" customFormat="1" ht="31.5" hidden="1">
      <c r="A354" s="76" t="s">
        <v>1080</v>
      </c>
      <c r="B354" s="96" t="s">
        <v>112</v>
      </c>
      <c r="C354" s="96" t="s">
        <v>212</v>
      </c>
      <c r="D354" s="96" t="s">
        <v>210</v>
      </c>
      <c r="E354" s="149" t="s">
        <v>1081</v>
      </c>
      <c r="F354" s="96"/>
      <c r="G354" s="148">
        <f>G355</f>
        <v>0</v>
      </c>
      <c r="H354" s="148">
        <f>G354</f>
        <v>0</v>
      </c>
    </row>
    <row r="355" spans="1:8" s="92" customFormat="1" hidden="1">
      <c r="A355" s="76" t="s">
        <v>263</v>
      </c>
      <c r="B355" s="96" t="s">
        <v>112</v>
      </c>
      <c r="C355" s="96" t="s">
        <v>212</v>
      </c>
      <c r="D355" s="96" t="s">
        <v>210</v>
      </c>
      <c r="E355" s="149" t="s">
        <v>1081</v>
      </c>
      <c r="F355" s="96" t="s">
        <v>260</v>
      </c>
      <c r="G355" s="148"/>
      <c r="H355" s="148">
        <f>G355</f>
        <v>0</v>
      </c>
    </row>
    <row r="356" spans="1:8" s="92" customFormat="1" ht="47.25" hidden="1">
      <c r="A356" s="76" t="s">
        <v>1108</v>
      </c>
      <c r="B356" s="96" t="s">
        <v>112</v>
      </c>
      <c r="C356" s="96" t="s">
        <v>212</v>
      </c>
      <c r="D356" s="96" t="s">
        <v>210</v>
      </c>
      <c r="E356" s="149" t="s">
        <v>1081</v>
      </c>
      <c r="F356" s="96"/>
      <c r="G356" s="148">
        <f>G357</f>
        <v>0</v>
      </c>
      <c r="H356" s="148"/>
    </row>
    <row r="357" spans="1:8" s="92" customFormat="1" hidden="1">
      <c r="A357" s="76" t="s">
        <v>263</v>
      </c>
      <c r="B357" s="96" t="s">
        <v>112</v>
      </c>
      <c r="C357" s="96" t="s">
        <v>212</v>
      </c>
      <c r="D357" s="96" t="s">
        <v>210</v>
      </c>
      <c r="E357" s="149" t="s">
        <v>1081</v>
      </c>
      <c r="F357" s="96" t="s">
        <v>260</v>
      </c>
      <c r="G357" s="148"/>
      <c r="H357" s="148"/>
    </row>
    <row r="358" spans="1:8" s="92" customFormat="1" ht="47.25">
      <c r="A358" s="730" t="s">
        <v>971</v>
      </c>
      <c r="B358" s="186" t="s">
        <v>112</v>
      </c>
      <c r="C358" s="186" t="s">
        <v>212</v>
      </c>
      <c r="D358" s="186" t="s">
        <v>210</v>
      </c>
      <c r="E358" s="189" t="s">
        <v>978</v>
      </c>
      <c r="F358" s="186"/>
      <c r="G358" s="194">
        <f>G359</f>
        <v>3257.1559999999999</v>
      </c>
      <c r="H358" s="194">
        <v>0</v>
      </c>
    </row>
    <row r="359" spans="1:8" s="92" customFormat="1" ht="31.5">
      <c r="A359" s="730" t="s">
        <v>988</v>
      </c>
      <c r="B359" s="186" t="s">
        <v>112</v>
      </c>
      <c r="C359" s="186" t="s">
        <v>212</v>
      </c>
      <c r="D359" s="186" t="s">
        <v>210</v>
      </c>
      <c r="E359" s="189" t="s">
        <v>979</v>
      </c>
      <c r="F359" s="186"/>
      <c r="G359" s="194">
        <f>G361+G362</f>
        <v>3257.1559999999999</v>
      </c>
      <c r="H359" s="194">
        <v>0</v>
      </c>
    </row>
    <row r="360" spans="1:8" s="92" customFormat="1" ht="31.5">
      <c r="A360" s="208" t="s">
        <v>972</v>
      </c>
      <c r="B360" s="204" t="s">
        <v>112</v>
      </c>
      <c r="C360" s="204" t="s">
        <v>212</v>
      </c>
      <c r="D360" s="204" t="s">
        <v>210</v>
      </c>
      <c r="E360" s="204" t="s">
        <v>977</v>
      </c>
      <c r="F360" s="204"/>
      <c r="G360" s="199">
        <f>G361+G362</f>
        <v>3257.1559999999999</v>
      </c>
      <c r="H360" s="199">
        <v>0</v>
      </c>
    </row>
    <row r="361" spans="1:8" s="92" customFormat="1">
      <c r="A361" s="76" t="s">
        <v>494</v>
      </c>
      <c r="B361" s="96" t="s">
        <v>112</v>
      </c>
      <c r="C361" s="96" t="s">
        <v>212</v>
      </c>
      <c r="D361" s="96" t="s">
        <v>210</v>
      </c>
      <c r="E361" s="149" t="s">
        <v>977</v>
      </c>
      <c r="F361" s="96" t="s">
        <v>260</v>
      </c>
      <c r="G361" s="148">
        <v>2160.3560000000002</v>
      </c>
      <c r="H361" s="148">
        <v>0</v>
      </c>
    </row>
    <row r="362" spans="1:8" s="92" customFormat="1">
      <c r="A362" s="169" t="s">
        <v>340</v>
      </c>
      <c r="B362" s="96" t="s">
        <v>112</v>
      </c>
      <c r="C362" s="96" t="s">
        <v>212</v>
      </c>
      <c r="D362" s="96" t="s">
        <v>210</v>
      </c>
      <c r="E362" s="149" t="s">
        <v>977</v>
      </c>
      <c r="F362" s="96" t="s">
        <v>341</v>
      </c>
      <c r="G362" s="148">
        <v>1096.8</v>
      </c>
      <c r="H362" s="148">
        <v>0</v>
      </c>
    </row>
    <row r="363" spans="1:8" s="92" customFormat="1" ht="31.5" hidden="1">
      <c r="A363" s="730" t="s">
        <v>973</v>
      </c>
      <c r="B363" s="186" t="s">
        <v>112</v>
      </c>
      <c r="C363" s="186" t="s">
        <v>212</v>
      </c>
      <c r="D363" s="186" t="s">
        <v>210</v>
      </c>
      <c r="E363" s="189" t="s">
        <v>980</v>
      </c>
      <c r="F363" s="186"/>
      <c r="G363" s="194">
        <f>G364</f>
        <v>0</v>
      </c>
      <c r="H363" s="194">
        <f>H364</f>
        <v>0</v>
      </c>
    </row>
    <row r="364" spans="1:8" s="92" customFormat="1" ht="31.5" hidden="1">
      <c r="A364" s="730" t="s">
        <v>987</v>
      </c>
      <c r="B364" s="186" t="s">
        <v>112</v>
      </c>
      <c r="C364" s="186" t="s">
        <v>212</v>
      </c>
      <c r="D364" s="186" t="s">
        <v>210</v>
      </c>
      <c r="E364" s="189" t="s">
        <v>981</v>
      </c>
      <c r="F364" s="186"/>
      <c r="G364" s="194">
        <f>G367+G365</f>
        <v>0</v>
      </c>
      <c r="H364" s="194">
        <f>H367+H365</f>
        <v>0</v>
      </c>
    </row>
    <row r="365" spans="1:8" s="92" customFormat="1" ht="50.25" hidden="1" customHeight="1">
      <c r="A365" s="208" t="s">
        <v>1121</v>
      </c>
      <c r="B365" s="204" t="s">
        <v>112</v>
      </c>
      <c r="C365" s="204" t="s">
        <v>212</v>
      </c>
      <c r="D365" s="204" t="s">
        <v>210</v>
      </c>
      <c r="E365" s="781" t="s">
        <v>983</v>
      </c>
      <c r="F365" s="204"/>
      <c r="G365" s="199">
        <f>G366</f>
        <v>0</v>
      </c>
      <c r="H365" s="199">
        <f>G365</f>
        <v>0</v>
      </c>
    </row>
    <row r="366" spans="1:8" s="92" customFormat="1" hidden="1">
      <c r="A366" s="76" t="s">
        <v>494</v>
      </c>
      <c r="B366" s="204" t="s">
        <v>112</v>
      </c>
      <c r="C366" s="204" t="s">
        <v>212</v>
      </c>
      <c r="D366" s="204" t="s">
        <v>210</v>
      </c>
      <c r="E366" s="781" t="s">
        <v>983</v>
      </c>
      <c r="F366" s="204" t="s">
        <v>260</v>
      </c>
      <c r="G366" s="199"/>
      <c r="H366" s="199">
        <f>G366</f>
        <v>0</v>
      </c>
    </row>
    <row r="367" spans="1:8" s="92" customFormat="1" ht="63" hidden="1">
      <c r="A367" s="169" t="s">
        <v>673</v>
      </c>
      <c r="B367" s="96" t="s">
        <v>112</v>
      </c>
      <c r="C367" s="96" t="s">
        <v>212</v>
      </c>
      <c r="D367" s="96" t="s">
        <v>210</v>
      </c>
      <c r="E367" s="781" t="s">
        <v>983</v>
      </c>
      <c r="F367" s="207"/>
      <c r="G367" s="148">
        <f>G368</f>
        <v>0</v>
      </c>
      <c r="H367" s="148"/>
    </row>
    <row r="368" spans="1:8" s="92" customFormat="1" hidden="1">
      <c r="A368" s="76" t="s">
        <v>494</v>
      </c>
      <c r="B368" s="96" t="s">
        <v>112</v>
      </c>
      <c r="C368" s="96" t="s">
        <v>212</v>
      </c>
      <c r="D368" s="96" t="s">
        <v>210</v>
      </c>
      <c r="E368" s="204" t="s">
        <v>983</v>
      </c>
      <c r="F368" s="204" t="s">
        <v>260</v>
      </c>
      <c r="G368" s="148"/>
      <c r="H368" s="148"/>
    </row>
    <row r="369" spans="1:8" s="92" customFormat="1" ht="42" customHeight="1">
      <c r="A369" s="192" t="s">
        <v>1075</v>
      </c>
      <c r="B369" s="184" t="s">
        <v>112</v>
      </c>
      <c r="C369" s="184" t="s">
        <v>212</v>
      </c>
      <c r="D369" s="184" t="s">
        <v>210</v>
      </c>
      <c r="E369" s="184" t="s">
        <v>1103</v>
      </c>
      <c r="F369" s="184"/>
      <c r="G369" s="193">
        <f>G370</f>
        <v>1968.27</v>
      </c>
      <c r="H369" s="193">
        <v>0</v>
      </c>
    </row>
    <row r="370" spans="1:8" s="92" customFormat="1" ht="26.25">
      <c r="A370" s="1" t="s">
        <v>1105</v>
      </c>
      <c r="B370" s="96" t="s">
        <v>112</v>
      </c>
      <c r="C370" s="96" t="s">
        <v>212</v>
      </c>
      <c r="D370" s="96" t="s">
        <v>210</v>
      </c>
      <c r="E370" s="204" t="s">
        <v>1104</v>
      </c>
      <c r="F370" s="204"/>
      <c r="G370" s="148">
        <f>G371+G372</f>
        <v>1968.27</v>
      </c>
      <c r="H370" s="148">
        <v>0</v>
      </c>
    </row>
    <row r="371" spans="1:8" s="92" customFormat="1">
      <c r="A371" s="76" t="s">
        <v>494</v>
      </c>
      <c r="B371" s="96" t="s">
        <v>112</v>
      </c>
      <c r="C371" s="96" t="s">
        <v>212</v>
      </c>
      <c r="D371" s="96" t="s">
        <v>210</v>
      </c>
      <c r="E371" s="204" t="s">
        <v>1104</v>
      </c>
      <c r="F371" s="204" t="s">
        <v>260</v>
      </c>
      <c r="G371" s="148">
        <v>1435.11</v>
      </c>
      <c r="H371" s="148">
        <v>0</v>
      </c>
    </row>
    <row r="372" spans="1:8" s="92" customFormat="1">
      <c r="A372" s="169" t="s">
        <v>340</v>
      </c>
      <c r="B372" s="96" t="s">
        <v>112</v>
      </c>
      <c r="C372" s="96" t="s">
        <v>212</v>
      </c>
      <c r="D372" s="96" t="s">
        <v>210</v>
      </c>
      <c r="E372" s="204" t="s">
        <v>1104</v>
      </c>
      <c r="F372" s="204" t="s">
        <v>341</v>
      </c>
      <c r="G372" s="148">
        <v>533.16</v>
      </c>
      <c r="H372" s="148">
        <v>0</v>
      </c>
    </row>
    <row r="373" spans="1:8" ht="24" customHeight="1">
      <c r="A373" s="79" t="s">
        <v>257</v>
      </c>
      <c r="B373" s="103" t="s">
        <v>112</v>
      </c>
      <c r="C373" s="106" t="s">
        <v>212</v>
      </c>
      <c r="D373" s="106" t="s">
        <v>211</v>
      </c>
      <c r="E373" s="106"/>
      <c r="F373" s="106"/>
      <c r="G373" s="107">
        <f>G374+G424+G427+G430</f>
        <v>574949.10407000012</v>
      </c>
      <c r="H373" s="107">
        <f>H374+H424+H427+H430</f>
        <v>485197.81500000012</v>
      </c>
    </row>
    <row r="374" spans="1:8" ht="47.25">
      <c r="A374" s="635" t="s">
        <v>693</v>
      </c>
      <c r="B374" s="634" t="s">
        <v>112</v>
      </c>
      <c r="C374" s="634" t="s">
        <v>212</v>
      </c>
      <c r="D374" s="634" t="s">
        <v>211</v>
      </c>
      <c r="E374" s="634" t="s">
        <v>807</v>
      </c>
      <c r="F374" s="634"/>
      <c r="G374" s="460">
        <f>G375+G412+G416</f>
        <v>571404.86127000011</v>
      </c>
      <c r="H374" s="460">
        <f>H375+H412+H416</f>
        <v>485197.81500000012</v>
      </c>
    </row>
    <row r="375" spans="1:8" ht="31.5">
      <c r="A375" s="178" t="s">
        <v>442</v>
      </c>
      <c r="B375" s="180" t="s">
        <v>112</v>
      </c>
      <c r="C375" s="180" t="s">
        <v>212</v>
      </c>
      <c r="D375" s="180" t="s">
        <v>211</v>
      </c>
      <c r="E375" s="180" t="s">
        <v>808</v>
      </c>
      <c r="F375" s="180"/>
      <c r="G375" s="181">
        <f t="shared" ref="G375:H375" si="26">G376</f>
        <v>562217.33627000009</v>
      </c>
      <c r="H375" s="181">
        <f t="shared" si="26"/>
        <v>484583.81500000012</v>
      </c>
    </row>
    <row r="376" spans="1:8" ht="52.5" customHeight="1">
      <c r="A376" s="178" t="s">
        <v>806</v>
      </c>
      <c r="B376" s="180" t="s">
        <v>112</v>
      </c>
      <c r="C376" s="180" t="s">
        <v>212</v>
      </c>
      <c r="D376" s="180" t="s">
        <v>211</v>
      </c>
      <c r="E376" s="180" t="s">
        <v>809</v>
      </c>
      <c r="F376" s="180"/>
      <c r="G376" s="181">
        <f>G377+G382+G384+G386+G388+G392+G394+G396+G398+G408+G378+G380+G400+G404+G406+G402+G410+G390</f>
        <v>562217.33627000009</v>
      </c>
      <c r="H376" s="181">
        <f>H377+H382+H384+H386+H388+H392+H394+H396+H398+H408+H378+H380+H400+H404+H406+H402+H410+H390</f>
        <v>484583.81500000012</v>
      </c>
    </row>
    <row r="377" spans="1:8" ht="47.25">
      <c r="A377" s="76" t="s">
        <v>262</v>
      </c>
      <c r="B377" s="96" t="s">
        <v>112</v>
      </c>
      <c r="C377" s="96" t="s">
        <v>212</v>
      </c>
      <c r="D377" s="96" t="s">
        <v>211</v>
      </c>
      <c r="E377" s="149" t="s">
        <v>810</v>
      </c>
      <c r="F377" s="96" t="s">
        <v>408</v>
      </c>
      <c r="G377" s="199">
        <f>19121.31969+10436.46+210.02198+4481.82562+19287.60343+1177.21412-744.48+10030.60143</f>
        <v>64000.566270000003</v>
      </c>
      <c r="H377" s="465">
        <v>0</v>
      </c>
    </row>
    <row r="378" spans="1:8" ht="63">
      <c r="A378" s="74" t="s">
        <v>789</v>
      </c>
      <c r="B378" s="96" t="s">
        <v>112</v>
      </c>
      <c r="C378" s="96" t="s">
        <v>212</v>
      </c>
      <c r="D378" s="96" t="s">
        <v>211</v>
      </c>
      <c r="E378" s="149" t="s">
        <v>970</v>
      </c>
      <c r="F378" s="96"/>
      <c r="G378" s="199">
        <f>G379</f>
        <v>36477.928</v>
      </c>
      <c r="H378" s="465">
        <f>H379</f>
        <v>36477.928</v>
      </c>
    </row>
    <row r="379" spans="1:8">
      <c r="A379" s="76" t="s">
        <v>263</v>
      </c>
      <c r="B379" s="96" t="s">
        <v>112</v>
      </c>
      <c r="C379" s="96" t="s">
        <v>212</v>
      </c>
      <c r="D379" s="96" t="s">
        <v>211</v>
      </c>
      <c r="E379" s="149" t="s">
        <v>970</v>
      </c>
      <c r="F379" s="96" t="s">
        <v>260</v>
      </c>
      <c r="G379" s="199">
        <f>31089.408+5388.52</f>
        <v>36477.928</v>
      </c>
      <c r="H379" s="465">
        <f>G379</f>
        <v>36477.928</v>
      </c>
    </row>
    <row r="380" spans="1:8" ht="78.75">
      <c r="A380" s="74" t="s">
        <v>790</v>
      </c>
      <c r="B380" s="96" t="s">
        <v>112</v>
      </c>
      <c r="C380" s="96" t="s">
        <v>212</v>
      </c>
      <c r="D380" s="96" t="s">
        <v>211</v>
      </c>
      <c r="E380" s="149" t="s">
        <v>970</v>
      </c>
      <c r="F380" s="96"/>
      <c r="G380" s="199">
        <f>G381</f>
        <v>744.48</v>
      </c>
      <c r="H380" s="465">
        <v>0</v>
      </c>
    </row>
    <row r="381" spans="1:8">
      <c r="A381" s="76" t="s">
        <v>263</v>
      </c>
      <c r="B381" s="96" t="s">
        <v>112</v>
      </c>
      <c r="C381" s="96" t="s">
        <v>212</v>
      </c>
      <c r="D381" s="96" t="s">
        <v>211</v>
      </c>
      <c r="E381" s="149" t="s">
        <v>970</v>
      </c>
      <c r="F381" s="96" t="s">
        <v>260</v>
      </c>
      <c r="G381" s="199">
        <f>634.5+109.98</f>
        <v>744.48</v>
      </c>
      <c r="H381" s="465">
        <v>0</v>
      </c>
    </row>
    <row r="382" spans="1:8" s="91" customFormat="1" ht="31.5">
      <c r="A382" s="77" t="s">
        <v>346</v>
      </c>
      <c r="B382" s="95" t="s">
        <v>112</v>
      </c>
      <c r="C382" s="95" t="s">
        <v>212</v>
      </c>
      <c r="D382" s="95" t="s">
        <v>211</v>
      </c>
      <c r="E382" s="96" t="s">
        <v>811</v>
      </c>
      <c r="F382" s="95"/>
      <c r="G382" s="201">
        <f>G383</f>
        <v>10290.486999999999</v>
      </c>
      <c r="H382" s="201">
        <f>H383</f>
        <v>10290.486999999999</v>
      </c>
    </row>
    <row r="383" spans="1:8">
      <c r="A383" s="76" t="s">
        <v>263</v>
      </c>
      <c r="B383" s="96" t="s">
        <v>112</v>
      </c>
      <c r="C383" s="96" t="s">
        <v>212</v>
      </c>
      <c r="D383" s="96" t="s">
        <v>211</v>
      </c>
      <c r="E383" s="96" t="s">
        <v>811</v>
      </c>
      <c r="F383" s="96" t="s">
        <v>260</v>
      </c>
      <c r="G383" s="199">
        <v>10290.486999999999</v>
      </c>
      <c r="H383" s="465">
        <f>G383</f>
        <v>10290.486999999999</v>
      </c>
    </row>
    <row r="384" spans="1:8" s="91" customFormat="1" ht="78.75">
      <c r="A384" s="77" t="s">
        <v>675</v>
      </c>
      <c r="B384" s="95" t="s">
        <v>112</v>
      </c>
      <c r="C384" s="95" t="s">
        <v>212</v>
      </c>
      <c r="D384" s="95" t="s">
        <v>211</v>
      </c>
      <c r="E384" s="95" t="s">
        <v>812</v>
      </c>
      <c r="F384" s="95"/>
      <c r="G384" s="201">
        <f>G385</f>
        <v>268960.7</v>
      </c>
      <c r="H384" s="466">
        <f>H385</f>
        <v>268960.7</v>
      </c>
    </row>
    <row r="385" spans="1:8">
      <c r="A385" s="76" t="s">
        <v>263</v>
      </c>
      <c r="B385" s="96" t="s">
        <v>112</v>
      </c>
      <c r="C385" s="96" t="s">
        <v>212</v>
      </c>
      <c r="D385" s="96" t="s">
        <v>211</v>
      </c>
      <c r="E385" s="95" t="s">
        <v>812</v>
      </c>
      <c r="F385" s="96" t="s">
        <v>260</v>
      </c>
      <c r="G385" s="199">
        <v>268960.7</v>
      </c>
      <c r="H385" s="465">
        <f>G385</f>
        <v>268960.7</v>
      </c>
    </row>
    <row r="386" spans="1:8" ht="50.25" customHeight="1">
      <c r="A386" s="77" t="s">
        <v>237</v>
      </c>
      <c r="B386" s="96" t="s">
        <v>112</v>
      </c>
      <c r="C386" s="95" t="s">
        <v>212</v>
      </c>
      <c r="D386" s="95" t="s">
        <v>211</v>
      </c>
      <c r="E386" s="96" t="s">
        <v>813</v>
      </c>
      <c r="F386" s="95"/>
      <c r="G386" s="201">
        <f>G387</f>
        <v>5652</v>
      </c>
      <c r="H386" s="201">
        <f>H387</f>
        <v>5652</v>
      </c>
    </row>
    <row r="387" spans="1:8" s="91" customFormat="1" ht="26.25" customHeight="1">
      <c r="A387" s="76" t="s">
        <v>263</v>
      </c>
      <c r="B387" s="96" t="s">
        <v>112</v>
      </c>
      <c r="C387" s="96" t="s">
        <v>212</v>
      </c>
      <c r="D387" s="96" t="s">
        <v>211</v>
      </c>
      <c r="E387" s="96" t="s">
        <v>813</v>
      </c>
      <c r="F387" s="96" t="s">
        <v>260</v>
      </c>
      <c r="G387" s="199">
        <v>5652</v>
      </c>
      <c r="H387" s="199">
        <f>G387</f>
        <v>5652</v>
      </c>
    </row>
    <row r="388" spans="1:8" s="91" customFormat="1" ht="57" hidden="1" customHeight="1">
      <c r="A388" s="76" t="s">
        <v>758</v>
      </c>
      <c r="B388" s="96" t="s">
        <v>112</v>
      </c>
      <c r="C388" s="96" t="s">
        <v>212</v>
      </c>
      <c r="D388" s="96" t="s">
        <v>211</v>
      </c>
      <c r="E388" s="96" t="s">
        <v>1023</v>
      </c>
      <c r="F388" s="95"/>
      <c r="G388" s="199">
        <f>G389</f>
        <v>0</v>
      </c>
      <c r="H388" s="199">
        <f>H389</f>
        <v>0</v>
      </c>
    </row>
    <row r="389" spans="1:8" s="91" customFormat="1" ht="26.25" hidden="1" customHeight="1">
      <c r="A389" s="76" t="s">
        <v>263</v>
      </c>
      <c r="B389" s="96" t="s">
        <v>112</v>
      </c>
      <c r="C389" s="96" t="s">
        <v>212</v>
      </c>
      <c r="D389" s="96" t="s">
        <v>211</v>
      </c>
      <c r="E389" s="96" t="s">
        <v>1023</v>
      </c>
      <c r="F389" s="96" t="s">
        <v>260</v>
      </c>
      <c r="G389" s="199"/>
      <c r="H389" s="199">
        <f>G389</f>
        <v>0</v>
      </c>
    </row>
    <row r="390" spans="1:8" s="91" customFormat="1" ht="38.25" hidden="1" customHeight="1">
      <c r="A390" s="76" t="s">
        <v>758</v>
      </c>
      <c r="B390" s="96" t="s">
        <v>112</v>
      </c>
      <c r="C390" s="96" t="s">
        <v>212</v>
      </c>
      <c r="D390" s="96" t="s">
        <v>211</v>
      </c>
      <c r="E390" s="96" t="s">
        <v>1023</v>
      </c>
      <c r="F390" s="95"/>
      <c r="G390" s="199">
        <f>G391</f>
        <v>0</v>
      </c>
      <c r="H390" s="199"/>
    </row>
    <row r="391" spans="1:8" s="91" customFormat="1" ht="40.5" hidden="1" customHeight="1">
      <c r="A391" s="76" t="s">
        <v>263</v>
      </c>
      <c r="B391" s="96" t="s">
        <v>112</v>
      </c>
      <c r="C391" s="96" t="s">
        <v>212</v>
      </c>
      <c r="D391" s="96" t="s">
        <v>211</v>
      </c>
      <c r="E391" s="96" t="s">
        <v>1023</v>
      </c>
      <c r="F391" s="96" t="s">
        <v>260</v>
      </c>
      <c r="G391" s="199"/>
      <c r="H391" s="199"/>
    </row>
    <row r="392" spans="1:8" ht="48.75" customHeight="1">
      <c r="A392" s="76" t="s">
        <v>759</v>
      </c>
      <c r="B392" s="149" t="s">
        <v>112</v>
      </c>
      <c r="C392" s="158" t="s">
        <v>212</v>
      </c>
      <c r="D392" s="158" t="s">
        <v>211</v>
      </c>
      <c r="E392" s="149" t="s">
        <v>814</v>
      </c>
      <c r="F392" s="158"/>
      <c r="G392" s="201">
        <f>G393</f>
        <v>10644.2</v>
      </c>
      <c r="H392" s="201">
        <f>H393</f>
        <v>10644.2</v>
      </c>
    </row>
    <row r="393" spans="1:8">
      <c r="A393" s="76" t="s">
        <v>263</v>
      </c>
      <c r="B393" s="96" t="s">
        <v>112</v>
      </c>
      <c r="C393" s="96" t="s">
        <v>212</v>
      </c>
      <c r="D393" s="96" t="s">
        <v>211</v>
      </c>
      <c r="E393" s="149" t="s">
        <v>814</v>
      </c>
      <c r="F393" s="96" t="s">
        <v>260</v>
      </c>
      <c r="G393" s="199">
        <v>10644.2</v>
      </c>
      <c r="H393" s="465">
        <f>G393</f>
        <v>10644.2</v>
      </c>
    </row>
    <row r="394" spans="1:8" ht="63">
      <c r="A394" s="76" t="s">
        <v>760</v>
      </c>
      <c r="B394" s="96" t="s">
        <v>112</v>
      </c>
      <c r="C394" s="96" t="s">
        <v>212</v>
      </c>
      <c r="D394" s="96" t="s">
        <v>211</v>
      </c>
      <c r="E394" s="149" t="s">
        <v>814</v>
      </c>
      <c r="F394" s="96"/>
      <c r="G394" s="199">
        <f>G395</f>
        <v>10644.2</v>
      </c>
      <c r="H394" s="465">
        <f>H395</f>
        <v>0</v>
      </c>
    </row>
    <row r="395" spans="1:8">
      <c r="A395" s="76" t="s">
        <v>263</v>
      </c>
      <c r="B395" s="96" t="s">
        <v>112</v>
      </c>
      <c r="C395" s="96" t="s">
        <v>212</v>
      </c>
      <c r="D395" s="96" t="s">
        <v>211</v>
      </c>
      <c r="E395" s="149" t="s">
        <v>814</v>
      </c>
      <c r="F395" s="96" t="s">
        <v>260</v>
      </c>
      <c r="G395" s="199">
        <v>10644.2</v>
      </c>
      <c r="H395" s="465">
        <v>0</v>
      </c>
    </row>
    <row r="396" spans="1:8" ht="47.25">
      <c r="A396" s="76" t="s">
        <v>712</v>
      </c>
      <c r="B396" s="158" t="s">
        <v>112</v>
      </c>
      <c r="C396" s="158" t="s">
        <v>212</v>
      </c>
      <c r="D396" s="158" t="s">
        <v>211</v>
      </c>
      <c r="E396" s="96" t="s">
        <v>816</v>
      </c>
      <c r="F396" s="158"/>
      <c r="G396" s="199">
        <f>G397</f>
        <v>90950.1</v>
      </c>
      <c r="H396" s="465">
        <f>H397</f>
        <v>90950.1</v>
      </c>
    </row>
    <row r="397" spans="1:8">
      <c r="A397" s="76" t="s">
        <v>494</v>
      </c>
      <c r="B397" s="149" t="s">
        <v>112</v>
      </c>
      <c r="C397" s="149" t="s">
        <v>212</v>
      </c>
      <c r="D397" s="149" t="s">
        <v>211</v>
      </c>
      <c r="E397" s="96" t="s">
        <v>816</v>
      </c>
      <c r="F397" s="158" t="s">
        <v>260</v>
      </c>
      <c r="G397" s="199">
        <v>90950.1</v>
      </c>
      <c r="H397" s="465">
        <f>G397</f>
        <v>90950.1</v>
      </c>
    </row>
    <row r="398" spans="1:8" ht="63">
      <c r="A398" s="76" t="s">
        <v>718</v>
      </c>
      <c r="B398" s="158" t="s">
        <v>112</v>
      </c>
      <c r="C398" s="158" t="s">
        <v>212</v>
      </c>
      <c r="D398" s="158" t="s">
        <v>211</v>
      </c>
      <c r="E398" s="96" t="s">
        <v>815</v>
      </c>
      <c r="F398" s="158"/>
      <c r="G398" s="199">
        <f>G399</f>
        <v>1975.9</v>
      </c>
      <c r="H398" s="465">
        <f>H399</f>
        <v>0</v>
      </c>
    </row>
    <row r="399" spans="1:8">
      <c r="A399" s="76" t="s">
        <v>494</v>
      </c>
      <c r="B399" s="149" t="s">
        <v>112</v>
      </c>
      <c r="C399" s="149" t="s">
        <v>212</v>
      </c>
      <c r="D399" s="149" t="s">
        <v>211</v>
      </c>
      <c r="E399" s="96" t="s">
        <v>815</v>
      </c>
      <c r="F399" s="149" t="s">
        <v>260</v>
      </c>
      <c r="G399" s="199">
        <v>1975.9</v>
      </c>
      <c r="H399" s="465">
        <v>0</v>
      </c>
    </row>
    <row r="400" spans="1:8" ht="94.5">
      <c r="A400" s="76" t="s">
        <v>1005</v>
      </c>
      <c r="B400" s="149" t="s">
        <v>112</v>
      </c>
      <c r="C400" s="149" t="s">
        <v>212</v>
      </c>
      <c r="D400" s="149" t="s">
        <v>211</v>
      </c>
      <c r="E400" s="96" t="s">
        <v>1006</v>
      </c>
      <c r="F400" s="149"/>
      <c r="G400" s="199">
        <f>G401</f>
        <v>253.9</v>
      </c>
      <c r="H400" s="465">
        <f>H401</f>
        <v>253.9</v>
      </c>
    </row>
    <row r="401" spans="1:8">
      <c r="A401" s="76" t="s">
        <v>494</v>
      </c>
      <c r="B401" s="149" t="s">
        <v>112</v>
      </c>
      <c r="C401" s="149" t="s">
        <v>212</v>
      </c>
      <c r="D401" s="149" t="s">
        <v>211</v>
      </c>
      <c r="E401" s="96" t="s">
        <v>1006</v>
      </c>
      <c r="F401" s="149" t="s">
        <v>260</v>
      </c>
      <c r="G401" s="199">
        <v>253.9</v>
      </c>
      <c r="H401" s="465">
        <f>G401</f>
        <v>253.9</v>
      </c>
    </row>
    <row r="402" spans="1:8" ht="110.25">
      <c r="A402" s="76" t="s">
        <v>1059</v>
      </c>
      <c r="B402" s="149" t="s">
        <v>112</v>
      </c>
      <c r="C402" s="149" t="s">
        <v>212</v>
      </c>
      <c r="D402" s="149" t="s">
        <v>211</v>
      </c>
      <c r="E402" s="96" t="s">
        <v>1006</v>
      </c>
      <c r="F402" s="149"/>
      <c r="G402" s="199">
        <f>G403</f>
        <v>5.1820000000000004</v>
      </c>
      <c r="H402" s="465">
        <v>0</v>
      </c>
    </row>
    <row r="403" spans="1:8">
      <c r="A403" s="76" t="s">
        <v>494</v>
      </c>
      <c r="B403" s="149" t="s">
        <v>112</v>
      </c>
      <c r="C403" s="149" t="s">
        <v>212</v>
      </c>
      <c r="D403" s="149" t="s">
        <v>211</v>
      </c>
      <c r="E403" s="96" t="s">
        <v>1006</v>
      </c>
      <c r="F403" s="149" t="s">
        <v>260</v>
      </c>
      <c r="G403" s="199">
        <v>5.1820000000000004</v>
      </c>
      <c r="H403" s="465">
        <v>0</v>
      </c>
    </row>
    <row r="404" spans="1:8" ht="47.25">
      <c r="A404" s="76" t="s">
        <v>1011</v>
      </c>
      <c r="B404" s="149" t="s">
        <v>112</v>
      </c>
      <c r="C404" s="149" t="s">
        <v>212</v>
      </c>
      <c r="D404" s="149" t="s">
        <v>211</v>
      </c>
      <c r="E404" s="96" t="s">
        <v>1013</v>
      </c>
      <c r="F404" s="149"/>
      <c r="G404" s="199">
        <f>G405</f>
        <v>26319.3</v>
      </c>
      <c r="H404" s="465">
        <f>H405</f>
        <v>26319.3</v>
      </c>
    </row>
    <row r="405" spans="1:8">
      <c r="A405" s="76" t="s">
        <v>494</v>
      </c>
      <c r="B405" s="149" t="s">
        <v>112</v>
      </c>
      <c r="C405" s="149" t="s">
        <v>212</v>
      </c>
      <c r="D405" s="149" t="s">
        <v>211</v>
      </c>
      <c r="E405" s="96" t="s">
        <v>1013</v>
      </c>
      <c r="F405" s="149" t="s">
        <v>260</v>
      </c>
      <c r="G405" s="199">
        <v>26319.3</v>
      </c>
      <c r="H405" s="465">
        <f>G405</f>
        <v>26319.3</v>
      </c>
    </row>
    <row r="406" spans="1:8" ht="63">
      <c r="A406" s="76" t="s">
        <v>1012</v>
      </c>
      <c r="B406" s="149" t="s">
        <v>112</v>
      </c>
      <c r="C406" s="149" t="s">
        <v>212</v>
      </c>
      <c r="D406" s="149" t="s">
        <v>211</v>
      </c>
      <c r="E406" s="96" t="s">
        <v>1013</v>
      </c>
      <c r="F406" s="149"/>
      <c r="G406" s="199">
        <f>G407</f>
        <v>263.19299999999998</v>
      </c>
      <c r="H406" s="465">
        <v>0</v>
      </c>
    </row>
    <row r="407" spans="1:8">
      <c r="A407" s="76" t="s">
        <v>494</v>
      </c>
      <c r="B407" s="149" t="s">
        <v>112</v>
      </c>
      <c r="C407" s="149" t="s">
        <v>212</v>
      </c>
      <c r="D407" s="149" t="s">
        <v>211</v>
      </c>
      <c r="E407" s="96" t="s">
        <v>1013</v>
      </c>
      <c r="F407" s="149" t="s">
        <v>260</v>
      </c>
      <c r="G407" s="199">
        <v>263.19299999999998</v>
      </c>
      <c r="H407" s="465">
        <v>0</v>
      </c>
    </row>
    <row r="408" spans="1:8" ht="47.25">
      <c r="A408" s="76" t="s">
        <v>761</v>
      </c>
      <c r="B408" s="96" t="s">
        <v>112</v>
      </c>
      <c r="C408" s="96" t="s">
        <v>212</v>
      </c>
      <c r="D408" s="96" t="s">
        <v>211</v>
      </c>
      <c r="E408" s="149" t="s">
        <v>762</v>
      </c>
      <c r="F408" s="96"/>
      <c r="G408" s="148">
        <f>G409</f>
        <v>34384.9</v>
      </c>
      <c r="H408" s="465">
        <f>H409</f>
        <v>34384.9</v>
      </c>
    </row>
    <row r="409" spans="1:8">
      <c r="A409" s="76" t="s">
        <v>263</v>
      </c>
      <c r="B409" s="96" t="s">
        <v>112</v>
      </c>
      <c r="C409" s="96" t="s">
        <v>212</v>
      </c>
      <c r="D409" s="96" t="s">
        <v>211</v>
      </c>
      <c r="E409" s="149" t="s">
        <v>762</v>
      </c>
      <c r="F409" s="96" t="s">
        <v>260</v>
      </c>
      <c r="G409" s="148">
        <v>34384.9</v>
      </c>
      <c r="H409" s="465">
        <f>G409</f>
        <v>34384.9</v>
      </c>
    </row>
    <row r="410" spans="1:8" ht="47.25">
      <c r="A410" s="76" t="s">
        <v>761</v>
      </c>
      <c r="B410" s="96" t="s">
        <v>112</v>
      </c>
      <c r="C410" s="96" t="s">
        <v>212</v>
      </c>
      <c r="D410" s="96" t="s">
        <v>211</v>
      </c>
      <c r="E410" s="149" t="s">
        <v>1073</v>
      </c>
      <c r="F410" s="96"/>
      <c r="G410" s="148">
        <f>G411</f>
        <v>650.29999999999995</v>
      </c>
      <c r="H410" s="465">
        <f>H411</f>
        <v>650.29999999999995</v>
      </c>
    </row>
    <row r="411" spans="1:8">
      <c r="A411" s="76" t="s">
        <v>263</v>
      </c>
      <c r="B411" s="96" t="s">
        <v>112</v>
      </c>
      <c r="C411" s="96" t="s">
        <v>212</v>
      </c>
      <c r="D411" s="96" t="s">
        <v>211</v>
      </c>
      <c r="E411" s="149" t="s">
        <v>1073</v>
      </c>
      <c r="F411" s="96" t="s">
        <v>260</v>
      </c>
      <c r="G411" s="148">
        <v>650.29999999999995</v>
      </c>
      <c r="H411" s="465">
        <f>G411</f>
        <v>650.29999999999995</v>
      </c>
    </row>
    <row r="412" spans="1:8" ht="47.25">
      <c r="A412" s="730" t="s">
        <v>971</v>
      </c>
      <c r="B412" s="186" t="s">
        <v>112</v>
      </c>
      <c r="C412" s="186" t="s">
        <v>212</v>
      </c>
      <c r="D412" s="186" t="s">
        <v>211</v>
      </c>
      <c r="E412" s="189" t="s">
        <v>982</v>
      </c>
      <c r="F412" s="186"/>
      <c r="G412" s="194">
        <f>G413</f>
        <v>8561.2450000000008</v>
      </c>
      <c r="H412" s="194">
        <v>0</v>
      </c>
    </row>
    <row r="413" spans="1:8" ht="31.5">
      <c r="A413" s="730" t="s">
        <v>988</v>
      </c>
      <c r="B413" s="186" t="s">
        <v>112</v>
      </c>
      <c r="C413" s="186" t="s">
        <v>212</v>
      </c>
      <c r="D413" s="186" t="s">
        <v>211</v>
      </c>
      <c r="E413" s="189" t="s">
        <v>979</v>
      </c>
      <c r="F413" s="186"/>
      <c r="G413" s="194">
        <f>G415</f>
        <v>8561.2450000000008</v>
      </c>
      <c r="H413" s="194">
        <v>0</v>
      </c>
    </row>
    <row r="414" spans="1:8" ht="31.5">
      <c r="A414" s="208" t="s">
        <v>972</v>
      </c>
      <c r="B414" s="204" t="s">
        <v>112</v>
      </c>
      <c r="C414" s="204" t="s">
        <v>212</v>
      </c>
      <c r="D414" s="204" t="s">
        <v>211</v>
      </c>
      <c r="E414" s="341"/>
      <c r="F414" s="204"/>
      <c r="G414" s="199">
        <f>G415</f>
        <v>8561.2450000000008</v>
      </c>
      <c r="H414" s="199">
        <v>0</v>
      </c>
    </row>
    <row r="415" spans="1:8">
      <c r="A415" s="76" t="s">
        <v>263</v>
      </c>
      <c r="B415" s="96" t="s">
        <v>112</v>
      </c>
      <c r="C415" s="96" t="s">
        <v>212</v>
      </c>
      <c r="D415" s="96" t="s">
        <v>211</v>
      </c>
      <c r="E415" s="149" t="s">
        <v>977</v>
      </c>
      <c r="F415" s="96" t="s">
        <v>260</v>
      </c>
      <c r="G415" s="148">
        <v>8561.2450000000008</v>
      </c>
      <c r="H415" s="465">
        <v>0</v>
      </c>
    </row>
    <row r="416" spans="1:8" ht="31.5">
      <c r="A416" s="730" t="s">
        <v>973</v>
      </c>
      <c r="B416" s="186" t="s">
        <v>112</v>
      </c>
      <c r="C416" s="186" t="s">
        <v>212</v>
      </c>
      <c r="D416" s="186" t="s">
        <v>211</v>
      </c>
      <c r="E416" s="189" t="s">
        <v>980</v>
      </c>
      <c r="F416" s="186"/>
      <c r="G416" s="194">
        <f>G417</f>
        <v>626.28</v>
      </c>
      <c r="H416" s="194">
        <f>H417</f>
        <v>614</v>
      </c>
    </row>
    <row r="417" spans="1:8" ht="31.5">
      <c r="A417" s="730" t="s">
        <v>987</v>
      </c>
      <c r="B417" s="186" t="s">
        <v>112</v>
      </c>
      <c r="C417" s="186" t="s">
        <v>212</v>
      </c>
      <c r="D417" s="186" t="s">
        <v>211</v>
      </c>
      <c r="E417" s="189" t="s">
        <v>981</v>
      </c>
      <c r="F417" s="186"/>
      <c r="G417" s="194">
        <f>G420+G422+G418</f>
        <v>626.28</v>
      </c>
      <c r="H417" s="194">
        <f>H420+H422</f>
        <v>614</v>
      </c>
    </row>
    <row r="418" spans="1:8" s="207" customFormat="1" ht="31.5" hidden="1" customHeight="1">
      <c r="A418" s="2" t="s">
        <v>1055</v>
      </c>
      <c r="B418" s="96" t="s">
        <v>112</v>
      </c>
      <c r="C418" s="96" t="s">
        <v>212</v>
      </c>
      <c r="D418" s="96" t="s">
        <v>211</v>
      </c>
      <c r="E418" s="341" t="s">
        <v>986</v>
      </c>
      <c r="F418" s="204"/>
      <c r="G418" s="199">
        <f>G419</f>
        <v>0</v>
      </c>
      <c r="H418" s="199"/>
    </row>
    <row r="419" spans="1:8" s="207" customFormat="1" ht="23.25" hidden="1" customHeight="1">
      <c r="A419" s="76" t="s">
        <v>263</v>
      </c>
      <c r="B419" s="96" t="s">
        <v>112</v>
      </c>
      <c r="C419" s="96" t="s">
        <v>212</v>
      </c>
      <c r="D419" s="96" t="s">
        <v>211</v>
      </c>
      <c r="E419" s="341" t="s">
        <v>986</v>
      </c>
      <c r="F419" s="204" t="s">
        <v>260</v>
      </c>
      <c r="G419" s="199"/>
      <c r="H419" s="199"/>
    </row>
    <row r="420" spans="1:8" s="207" customFormat="1" ht="47.25">
      <c r="A420" s="169" t="s">
        <v>672</v>
      </c>
      <c r="B420" s="96" t="s">
        <v>112</v>
      </c>
      <c r="C420" s="96" t="s">
        <v>212</v>
      </c>
      <c r="D420" s="96" t="s">
        <v>211</v>
      </c>
      <c r="E420" s="204" t="s">
        <v>983</v>
      </c>
      <c r="G420" s="199">
        <f>G421</f>
        <v>614</v>
      </c>
      <c r="H420" s="465">
        <f>H421</f>
        <v>614</v>
      </c>
    </row>
    <row r="421" spans="1:8">
      <c r="A421" s="76" t="s">
        <v>263</v>
      </c>
      <c r="B421" s="96" t="s">
        <v>112</v>
      </c>
      <c r="C421" s="96" t="s">
        <v>212</v>
      </c>
      <c r="D421" s="96" t="s">
        <v>211</v>
      </c>
      <c r="E421" s="204" t="s">
        <v>983</v>
      </c>
      <c r="F421" s="204" t="s">
        <v>260</v>
      </c>
      <c r="G421" s="148">
        <v>614</v>
      </c>
      <c r="H421" s="465">
        <f>G421</f>
        <v>614</v>
      </c>
    </row>
    <row r="422" spans="1:8" ht="63">
      <c r="A422" s="169" t="s">
        <v>673</v>
      </c>
      <c r="B422" s="96" t="s">
        <v>112</v>
      </c>
      <c r="C422" s="96" t="s">
        <v>212</v>
      </c>
      <c r="D422" s="96" t="s">
        <v>211</v>
      </c>
      <c r="E422" s="204" t="s">
        <v>983</v>
      </c>
      <c r="F422" s="207"/>
      <c r="G422" s="148">
        <f>G423</f>
        <v>12.28</v>
      </c>
      <c r="H422" s="465">
        <v>0</v>
      </c>
    </row>
    <row r="423" spans="1:8">
      <c r="A423" s="76" t="s">
        <v>494</v>
      </c>
      <c r="B423" s="96" t="s">
        <v>112</v>
      </c>
      <c r="C423" s="96" t="s">
        <v>212</v>
      </c>
      <c r="D423" s="96" t="s">
        <v>211</v>
      </c>
      <c r="E423" s="204" t="s">
        <v>983</v>
      </c>
      <c r="F423" s="204" t="s">
        <v>260</v>
      </c>
      <c r="G423" s="148">
        <v>12.28</v>
      </c>
      <c r="H423" s="465">
        <v>0</v>
      </c>
    </row>
    <row r="424" spans="1:8" ht="57.75" customHeight="1">
      <c r="A424" s="870" t="s">
        <v>1052</v>
      </c>
      <c r="B424" s="634" t="s">
        <v>112</v>
      </c>
      <c r="C424" s="634" t="s">
        <v>212</v>
      </c>
      <c r="D424" s="634" t="s">
        <v>211</v>
      </c>
      <c r="E424" s="634" t="s">
        <v>1054</v>
      </c>
      <c r="F424" s="634"/>
      <c r="G424" s="460">
        <f>G425</f>
        <v>113.0228</v>
      </c>
      <c r="H424" s="869">
        <v>0</v>
      </c>
    </row>
    <row r="425" spans="1:8" ht="31.5">
      <c r="A425" s="759" t="s">
        <v>1053</v>
      </c>
      <c r="B425" s="96" t="s">
        <v>112</v>
      </c>
      <c r="C425" s="96" t="s">
        <v>212</v>
      </c>
      <c r="D425" s="96" t="s">
        <v>211</v>
      </c>
      <c r="E425" s="204" t="s">
        <v>1054</v>
      </c>
      <c r="F425" s="204"/>
      <c r="G425" s="148">
        <f>G426</f>
        <v>113.0228</v>
      </c>
      <c r="H425" s="465">
        <v>0</v>
      </c>
    </row>
    <row r="426" spans="1:8">
      <c r="A426" s="76" t="s">
        <v>494</v>
      </c>
      <c r="B426" s="96" t="s">
        <v>112</v>
      </c>
      <c r="C426" s="96" t="s">
        <v>212</v>
      </c>
      <c r="D426" s="96" t="s">
        <v>211</v>
      </c>
      <c r="E426" s="204" t="s">
        <v>1054</v>
      </c>
      <c r="F426" s="204" t="s">
        <v>260</v>
      </c>
      <c r="G426" s="148">
        <v>113.0228</v>
      </c>
      <c r="H426" s="465">
        <v>0</v>
      </c>
    </row>
    <row r="427" spans="1:8" ht="31.5">
      <c r="A427" s="614" t="s">
        <v>1075</v>
      </c>
      <c r="B427" s="634" t="s">
        <v>112</v>
      </c>
      <c r="C427" s="634" t="s">
        <v>212</v>
      </c>
      <c r="D427" s="634" t="s">
        <v>211</v>
      </c>
      <c r="E427" s="634" t="s">
        <v>1103</v>
      </c>
      <c r="F427" s="634"/>
      <c r="G427" s="460">
        <f>G428</f>
        <v>3231.22</v>
      </c>
      <c r="H427" s="869">
        <v>0</v>
      </c>
    </row>
    <row r="428" spans="1:8" ht="31.5">
      <c r="A428" s="2" t="s">
        <v>1105</v>
      </c>
      <c r="B428" s="96" t="s">
        <v>112</v>
      </c>
      <c r="C428" s="96" t="s">
        <v>212</v>
      </c>
      <c r="D428" s="96" t="s">
        <v>211</v>
      </c>
      <c r="E428" s="204" t="s">
        <v>1104</v>
      </c>
      <c r="F428" s="204"/>
      <c r="G428" s="148">
        <f>G429</f>
        <v>3231.22</v>
      </c>
      <c r="H428" s="465">
        <v>0</v>
      </c>
    </row>
    <row r="429" spans="1:8">
      <c r="A429" s="76" t="s">
        <v>494</v>
      </c>
      <c r="B429" s="96" t="s">
        <v>112</v>
      </c>
      <c r="C429" s="96" t="s">
        <v>212</v>
      </c>
      <c r="D429" s="96" t="s">
        <v>211</v>
      </c>
      <c r="E429" s="204" t="s">
        <v>1104</v>
      </c>
      <c r="F429" s="204" t="s">
        <v>260</v>
      </c>
      <c r="G429" s="148">
        <v>3231.22</v>
      </c>
      <c r="H429" s="465">
        <v>0</v>
      </c>
    </row>
    <row r="430" spans="1:8" ht="47.25">
      <c r="A430" s="614" t="s">
        <v>771</v>
      </c>
      <c r="B430" s="634" t="s">
        <v>112</v>
      </c>
      <c r="C430" s="634" t="s">
        <v>212</v>
      </c>
      <c r="D430" s="634" t="s">
        <v>211</v>
      </c>
      <c r="E430" s="634" t="s">
        <v>517</v>
      </c>
      <c r="F430" s="634"/>
      <c r="G430" s="460">
        <f>G431</f>
        <v>200</v>
      </c>
      <c r="H430" s="869">
        <v>0</v>
      </c>
    </row>
    <row r="431" spans="1:8" ht="31.5">
      <c r="A431" s="178" t="s">
        <v>877</v>
      </c>
      <c r="B431" s="179">
        <v>936</v>
      </c>
      <c r="C431" s="180" t="s">
        <v>212</v>
      </c>
      <c r="D431" s="180" t="s">
        <v>211</v>
      </c>
      <c r="E431" s="180" t="s">
        <v>517</v>
      </c>
      <c r="F431" s="737"/>
      <c r="G431" s="194">
        <f>G432</f>
        <v>200</v>
      </c>
      <c r="H431" s="782">
        <v>0</v>
      </c>
    </row>
    <row r="432" spans="1:8">
      <c r="A432" s="76" t="s">
        <v>263</v>
      </c>
      <c r="B432" s="96" t="s">
        <v>112</v>
      </c>
      <c r="C432" s="96" t="s">
        <v>212</v>
      </c>
      <c r="D432" s="96" t="s">
        <v>211</v>
      </c>
      <c r="E432" s="96" t="s">
        <v>517</v>
      </c>
      <c r="F432" s="96" t="s">
        <v>260</v>
      </c>
      <c r="G432" s="148">
        <v>200</v>
      </c>
      <c r="H432" s="465">
        <v>0</v>
      </c>
    </row>
    <row r="433" spans="1:8">
      <c r="A433" s="334" t="s">
        <v>461</v>
      </c>
      <c r="B433" s="149" t="s">
        <v>112</v>
      </c>
      <c r="C433" s="336" t="s">
        <v>212</v>
      </c>
      <c r="D433" s="336" t="s">
        <v>213</v>
      </c>
      <c r="E433" s="336"/>
      <c r="F433" s="336"/>
      <c r="G433" s="122">
        <f>G434+G454</f>
        <v>30610.271189999999</v>
      </c>
      <c r="H433" s="122">
        <f>H434</f>
        <v>10916.6</v>
      </c>
    </row>
    <row r="434" spans="1:8" ht="47.25">
      <c r="A434" s="173" t="s">
        <v>694</v>
      </c>
      <c r="B434" s="149" t="s">
        <v>112</v>
      </c>
      <c r="C434" s="184" t="s">
        <v>212</v>
      </c>
      <c r="D434" s="184" t="s">
        <v>213</v>
      </c>
      <c r="E434" s="184" t="s">
        <v>807</v>
      </c>
      <c r="F434" s="184"/>
      <c r="G434" s="193">
        <f>G435+G451</f>
        <v>30486.501189999999</v>
      </c>
      <c r="H434" s="193">
        <f t="shared" ref="H434" si="27">H435</f>
        <v>10916.6</v>
      </c>
    </row>
    <row r="435" spans="1:8" ht="47.25">
      <c r="A435" s="178" t="s">
        <v>441</v>
      </c>
      <c r="B435" s="149" t="s">
        <v>112</v>
      </c>
      <c r="C435" s="186" t="s">
        <v>212</v>
      </c>
      <c r="D435" s="186" t="s">
        <v>213</v>
      </c>
      <c r="E435" s="186" t="s">
        <v>818</v>
      </c>
      <c r="F435" s="186"/>
      <c r="G435" s="194">
        <f>G436</f>
        <v>30366.501189999999</v>
      </c>
      <c r="H435" s="194">
        <f>H436</f>
        <v>10916.6</v>
      </c>
    </row>
    <row r="436" spans="1:8" ht="56.25" customHeight="1">
      <c r="A436" s="178" t="s">
        <v>819</v>
      </c>
      <c r="B436" s="149" t="s">
        <v>112</v>
      </c>
      <c r="C436" s="186" t="s">
        <v>212</v>
      </c>
      <c r="D436" s="186" t="s">
        <v>213</v>
      </c>
      <c r="E436" s="186" t="s">
        <v>820</v>
      </c>
      <c r="F436" s="186"/>
      <c r="G436" s="194">
        <f>G437+G439+G442+G443+G445+G449+G447</f>
        <v>30366.501189999999</v>
      </c>
      <c r="H436" s="194">
        <f>H437+H439+H442+H443+H445+H449+H447</f>
        <v>10916.6</v>
      </c>
    </row>
    <row r="437" spans="1:8" ht="31.5">
      <c r="A437" s="151" t="s">
        <v>182</v>
      </c>
      <c r="B437" s="149" t="s">
        <v>112</v>
      </c>
      <c r="C437" s="158" t="s">
        <v>212</v>
      </c>
      <c r="D437" s="158" t="s">
        <v>213</v>
      </c>
      <c r="E437" s="149" t="s">
        <v>821</v>
      </c>
      <c r="F437" s="158"/>
      <c r="G437" s="121">
        <f>G438</f>
        <v>10916.6</v>
      </c>
      <c r="H437" s="121">
        <f>H438</f>
        <v>10916.6</v>
      </c>
    </row>
    <row r="438" spans="1:8">
      <c r="A438" s="169" t="s">
        <v>263</v>
      </c>
      <c r="B438" s="149" t="s">
        <v>112</v>
      </c>
      <c r="C438" s="149" t="s">
        <v>212</v>
      </c>
      <c r="D438" s="149" t="s">
        <v>213</v>
      </c>
      <c r="E438" s="149" t="s">
        <v>821</v>
      </c>
      <c r="F438" s="149" t="s">
        <v>260</v>
      </c>
      <c r="G438" s="148">
        <v>10916.6</v>
      </c>
      <c r="H438" s="467">
        <f>G438</f>
        <v>10916.6</v>
      </c>
    </row>
    <row r="439" spans="1:8" ht="47.25">
      <c r="A439" s="151" t="s">
        <v>664</v>
      </c>
      <c r="B439" s="149" t="s">
        <v>112</v>
      </c>
      <c r="C439" s="158" t="s">
        <v>212</v>
      </c>
      <c r="D439" s="158" t="s">
        <v>213</v>
      </c>
      <c r="E439" s="149" t="s">
        <v>821</v>
      </c>
      <c r="F439" s="158"/>
      <c r="G439" s="121">
        <f>G440</f>
        <v>15334.3125</v>
      </c>
      <c r="H439" s="121">
        <f>H440</f>
        <v>0</v>
      </c>
    </row>
    <row r="440" spans="1:8">
      <c r="A440" s="169" t="s">
        <v>263</v>
      </c>
      <c r="B440" s="149" t="s">
        <v>112</v>
      </c>
      <c r="C440" s="149" t="s">
        <v>212</v>
      </c>
      <c r="D440" s="149" t="s">
        <v>213</v>
      </c>
      <c r="E440" s="149" t="s">
        <v>821</v>
      </c>
      <c r="F440" s="149" t="s">
        <v>260</v>
      </c>
      <c r="G440" s="148">
        <v>15334.3125</v>
      </c>
      <c r="H440" s="467">
        <v>0</v>
      </c>
    </row>
    <row r="441" spans="1:8" ht="31.5">
      <c r="A441" s="206" t="s">
        <v>376</v>
      </c>
      <c r="B441" s="149" t="s">
        <v>112</v>
      </c>
      <c r="C441" s="149" t="s">
        <v>212</v>
      </c>
      <c r="D441" s="149" t="s">
        <v>213</v>
      </c>
      <c r="E441" s="149" t="s">
        <v>822</v>
      </c>
      <c r="F441" s="149"/>
      <c r="G441" s="148">
        <f>G442</f>
        <v>4115.5886899999996</v>
      </c>
      <c r="H441" s="467">
        <v>0</v>
      </c>
    </row>
    <row r="442" spans="1:8" ht="47.25">
      <c r="A442" s="169" t="s">
        <v>262</v>
      </c>
      <c r="B442" s="149" t="s">
        <v>112</v>
      </c>
      <c r="C442" s="149" t="s">
        <v>212</v>
      </c>
      <c r="D442" s="149" t="s">
        <v>213</v>
      </c>
      <c r="E442" s="149" t="s">
        <v>822</v>
      </c>
      <c r="F442" s="149" t="s">
        <v>408</v>
      </c>
      <c r="G442" s="148">
        <f>451.22+389.358+7.54731+2221.95887+1045.50451</f>
        <v>4115.5886899999996</v>
      </c>
      <c r="H442" s="467">
        <v>0</v>
      </c>
    </row>
    <row r="443" spans="1:8" ht="31.5" hidden="1">
      <c r="A443" s="169" t="s">
        <v>705</v>
      </c>
      <c r="B443" s="149" t="s">
        <v>112</v>
      </c>
      <c r="C443" s="149" t="s">
        <v>212</v>
      </c>
      <c r="D443" s="149" t="s">
        <v>213</v>
      </c>
      <c r="E443" s="149" t="s">
        <v>823</v>
      </c>
      <c r="F443" s="149"/>
      <c r="G443" s="148">
        <f>G444</f>
        <v>0</v>
      </c>
      <c r="H443" s="467">
        <f>H444</f>
        <v>0</v>
      </c>
    </row>
    <row r="444" spans="1:8" hidden="1">
      <c r="A444" s="169" t="s">
        <v>263</v>
      </c>
      <c r="B444" s="149" t="s">
        <v>112</v>
      </c>
      <c r="C444" s="149" t="s">
        <v>212</v>
      </c>
      <c r="D444" s="149" t="s">
        <v>213</v>
      </c>
      <c r="E444" s="149" t="s">
        <v>823</v>
      </c>
      <c r="F444" s="149" t="s">
        <v>260</v>
      </c>
      <c r="G444" s="148">
        <f>618.6-618.6</f>
        <v>0</v>
      </c>
      <c r="H444" s="467">
        <f>G444</f>
        <v>0</v>
      </c>
    </row>
    <row r="445" spans="1:8" ht="47.25" hidden="1">
      <c r="A445" s="169" t="s">
        <v>723</v>
      </c>
      <c r="B445" s="149" t="s">
        <v>112</v>
      </c>
      <c r="C445" s="149" t="s">
        <v>212</v>
      </c>
      <c r="D445" s="149" t="s">
        <v>213</v>
      </c>
      <c r="E445" s="149" t="s">
        <v>823</v>
      </c>
      <c r="F445" s="149"/>
      <c r="G445" s="148">
        <f>G446</f>
        <v>0</v>
      </c>
      <c r="H445" s="467">
        <f>H446</f>
        <v>0</v>
      </c>
    </row>
    <row r="446" spans="1:8" hidden="1">
      <c r="A446" s="169" t="s">
        <v>263</v>
      </c>
      <c r="B446" s="149" t="s">
        <v>112</v>
      </c>
      <c r="C446" s="149" t="s">
        <v>212</v>
      </c>
      <c r="D446" s="149" t="s">
        <v>213</v>
      </c>
      <c r="E446" s="149" t="s">
        <v>823</v>
      </c>
      <c r="F446" s="149" t="s">
        <v>260</v>
      </c>
      <c r="G446" s="148">
        <f>12.62449-12.62449</f>
        <v>0</v>
      </c>
      <c r="H446" s="467">
        <v>0</v>
      </c>
    </row>
    <row r="447" spans="1:8" ht="63" hidden="1">
      <c r="A447" s="74" t="s">
        <v>789</v>
      </c>
      <c r="B447" s="149" t="s">
        <v>112</v>
      </c>
      <c r="C447" s="149" t="s">
        <v>212</v>
      </c>
      <c r="D447" s="149" t="s">
        <v>213</v>
      </c>
      <c r="E447" s="149" t="s">
        <v>985</v>
      </c>
      <c r="F447" s="149"/>
      <c r="G447" s="148">
        <f>G448</f>
        <v>0</v>
      </c>
      <c r="H447" s="467">
        <f>H448</f>
        <v>0</v>
      </c>
    </row>
    <row r="448" spans="1:8" hidden="1">
      <c r="A448" s="169" t="s">
        <v>263</v>
      </c>
      <c r="B448" s="149" t="s">
        <v>112</v>
      </c>
      <c r="C448" s="149" t="s">
        <v>212</v>
      </c>
      <c r="D448" s="149" t="s">
        <v>213</v>
      </c>
      <c r="E448" s="149" t="s">
        <v>985</v>
      </c>
      <c r="F448" s="149" t="s">
        <v>260</v>
      </c>
      <c r="G448" s="148"/>
      <c r="H448" s="467">
        <f>G448</f>
        <v>0</v>
      </c>
    </row>
    <row r="449" spans="1:8" ht="47.25" hidden="1">
      <c r="A449" s="169" t="s">
        <v>763</v>
      </c>
      <c r="B449" s="149" t="s">
        <v>112</v>
      </c>
      <c r="C449" s="149" t="s">
        <v>212</v>
      </c>
      <c r="D449" s="149" t="s">
        <v>213</v>
      </c>
      <c r="E449" s="204" t="s">
        <v>770</v>
      </c>
      <c r="F449" s="149"/>
      <c r="G449" s="148">
        <f>G450</f>
        <v>0</v>
      </c>
      <c r="H449" s="467">
        <f>H450</f>
        <v>0</v>
      </c>
    </row>
    <row r="450" spans="1:8" hidden="1">
      <c r="A450" s="169" t="s">
        <v>263</v>
      </c>
      <c r="B450" s="149" t="s">
        <v>112</v>
      </c>
      <c r="C450" s="149" t="s">
        <v>212</v>
      </c>
      <c r="D450" s="149" t="s">
        <v>213</v>
      </c>
      <c r="E450" s="204" t="s">
        <v>770</v>
      </c>
      <c r="F450" s="149" t="s">
        <v>260</v>
      </c>
      <c r="G450" s="148">
        <f>17500-17500</f>
        <v>0</v>
      </c>
      <c r="H450" s="467">
        <f>G450</f>
        <v>0</v>
      </c>
    </row>
    <row r="451" spans="1:8" ht="47.25">
      <c r="A451" s="730" t="s">
        <v>971</v>
      </c>
      <c r="B451" s="186" t="s">
        <v>112</v>
      </c>
      <c r="C451" s="186" t="s">
        <v>212</v>
      </c>
      <c r="D451" s="186" t="s">
        <v>213</v>
      </c>
      <c r="E451" s="189" t="s">
        <v>982</v>
      </c>
      <c r="F451" s="186"/>
      <c r="G451" s="194">
        <f>G452</f>
        <v>120</v>
      </c>
      <c r="H451" s="782">
        <v>0</v>
      </c>
    </row>
    <row r="452" spans="1:8" ht="31.5">
      <c r="A452" s="730" t="s">
        <v>988</v>
      </c>
      <c r="B452" s="186" t="s">
        <v>112</v>
      </c>
      <c r="C452" s="186" t="s">
        <v>212</v>
      </c>
      <c r="D452" s="186" t="s">
        <v>213</v>
      </c>
      <c r="E452" s="189" t="s">
        <v>979</v>
      </c>
      <c r="F452" s="186"/>
      <c r="G452" s="194">
        <f>G453</f>
        <v>120</v>
      </c>
      <c r="H452" s="782">
        <v>0</v>
      </c>
    </row>
    <row r="453" spans="1:8">
      <c r="A453" s="169" t="s">
        <v>263</v>
      </c>
      <c r="B453" s="149" t="s">
        <v>112</v>
      </c>
      <c r="C453" s="149" t="s">
        <v>212</v>
      </c>
      <c r="D453" s="149" t="s">
        <v>213</v>
      </c>
      <c r="E453" s="204" t="s">
        <v>1124</v>
      </c>
      <c r="F453" s="149" t="s">
        <v>260</v>
      </c>
      <c r="G453" s="148">
        <v>120</v>
      </c>
      <c r="H453" s="467">
        <v>0</v>
      </c>
    </row>
    <row r="454" spans="1:8" ht="31.5">
      <c r="A454" s="614" t="s">
        <v>1075</v>
      </c>
      <c r="B454" s="634" t="s">
        <v>112</v>
      </c>
      <c r="C454" s="634" t="s">
        <v>212</v>
      </c>
      <c r="D454" s="634" t="s">
        <v>213</v>
      </c>
      <c r="E454" s="634" t="s">
        <v>1103</v>
      </c>
      <c r="F454" s="634"/>
      <c r="G454" s="460">
        <f>G455</f>
        <v>123.77</v>
      </c>
      <c r="H454" s="869">
        <v>0</v>
      </c>
    </row>
    <row r="455" spans="1:8" ht="26.25">
      <c r="A455" s="1" t="s">
        <v>1105</v>
      </c>
      <c r="B455" s="96" t="s">
        <v>112</v>
      </c>
      <c r="C455" s="96" t="s">
        <v>212</v>
      </c>
      <c r="D455" s="96" t="s">
        <v>213</v>
      </c>
      <c r="E455" s="204" t="s">
        <v>1104</v>
      </c>
      <c r="F455" s="204"/>
      <c r="G455" s="148">
        <f>G456</f>
        <v>123.77</v>
      </c>
      <c r="H455" s="467">
        <v>0</v>
      </c>
    </row>
    <row r="456" spans="1:8">
      <c r="A456" s="76" t="s">
        <v>494</v>
      </c>
      <c r="B456" s="96" t="s">
        <v>112</v>
      </c>
      <c r="C456" s="96" t="s">
        <v>212</v>
      </c>
      <c r="D456" s="96" t="s">
        <v>213</v>
      </c>
      <c r="E456" s="204" t="s">
        <v>1104</v>
      </c>
      <c r="F456" s="204" t="s">
        <v>260</v>
      </c>
      <c r="G456" s="148">
        <v>123.77</v>
      </c>
      <c r="H456" s="467">
        <v>0</v>
      </c>
    </row>
    <row r="457" spans="1:8" s="159" customFormat="1">
      <c r="A457" s="337" t="s">
        <v>389</v>
      </c>
      <c r="B457" s="149" t="s">
        <v>112</v>
      </c>
      <c r="C457" s="250" t="s">
        <v>212</v>
      </c>
      <c r="D457" s="250" t="s">
        <v>212</v>
      </c>
      <c r="E457" s="250"/>
      <c r="F457" s="250"/>
      <c r="G457" s="338">
        <f>G458+G480+G477</f>
        <v>9564.313619999999</v>
      </c>
      <c r="H457" s="338">
        <f>H458+H480+H477</f>
        <v>6992.0999999999995</v>
      </c>
    </row>
    <row r="458" spans="1:8" s="91" customFormat="1" ht="47.25">
      <c r="A458" s="614" t="s">
        <v>694</v>
      </c>
      <c r="B458" s="336" t="s">
        <v>112</v>
      </c>
      <c r="C458" s="634" t="s">
        <v>212</v>
      </c>
      <c r="D458" s="634" t="s">
        <v>212</v>
      </c>
      <c r="E458" s="634" t="s">
        <v>807</v>
      </c>
      <c r="F458" s="634"/>
      <c r="G458" s="460">
        <f t="shared" ref="G458:H459" si="28">G459</f>
        <v>8266.9136199999994</v>
      </c>
      <c r="H458" s="460">
        <f t="shared" si="28"/>
        <v>6992.0999999999995</v>
      </c>
    </row>
    <row r="459" spans="1:8" s="91" customFormat="1" ht="31.5">
      <c r="A459" s="178" t="s">
        <v>440</v>
      </c>
      <c r="B459" s="149" t="s">
        <v>112</v>
      </c>
      <c r="C459" s="180" t="s">
        <v>212</v>
      </c>
      <c r="D459" s="180" t="s">
        <v>212</v>
      </c>
      <c r="E459" s="180" t="s">
        <v>824</v>
      </c>
      <c r="F459" s="180"/>
      <c r="G459" s="181">
        <f>G460</f>
        <v>8266.9136199999994</v>
      </c>
      <c r="H459" s="181">
        <f t="shared" si="28"/>
        <v>6992.0999999999995</v>
      </c>
    </row>
    <row r="460" spans="1:8" s="91" customFormat="1" ht="31.5">
      <c r="A460" s="178" t="s">
        <v>817</v>
      </c>
      <c r="B460" s="149" t="s">
        <v>112</v>
      </c>
      <c r="C460" s="180" t="s">
        <v>212</v>
      </c>
      <c r="D460" s="180" t="s">
        <v>212</v>
      </c>
      <c r="E460" s="180" t="s">
        <v>825</v>
      </c>
      <c r="F460" s="180"/>
      <c r="G460" s="181">
        <f>G461+G462+G465+G468+G473+G471</f>
        <v>8266.9136199999994</v>
      </c>
      <c r="H460" s="181">
        <f>H461+H462+H465+H468+H473+H471</f>
        <v>6992.0999999999995</v>
      </c>
    </row>
    <row r="461" spans="1:8" ht="47.25">
      <c r="A461" s="76" t="s">
        <v>339</v>
      </c>
      <c r="B461" s="149" t="s">
        <v>112</v>
      </c>
      <c r="C461" s="96" t="s">
        <v>212</v>
      </c>
      <c r="D461" s="96" t="s">
        <v>212</v>
      </c>
      <c r="E461" s="204" t="s">
        <v>826</v>
      </c>
      <c r="F461" s="96" t="s">
        <v>409</v>
      </c>
      <c r="G461" s="109">
        <f>507.662+38.08+63+2.55294+574.1807+74.33798</f>
        <v>1259.8136200000001</v>
      </c>
      <c r="H461" s="387">
        <v>0</v>
      </c>
    </row>
    <row r="462" spans="1:8" ht="156.75" customHeight="1">
      <c r="A462" s="77" t="s">
        <v>674</v>
      </c>
      <c r="B462" s="149" t="s">
        <v>112</v>
      </c>
      <c r="C462" s="95" t="s">
        <v>212</v>
      </c>
      <c r="D462" s="95" t="s">
        <v>212</v>
      </c>
      <c r="E462" s="96" t="s">
        <v>827</v>
      </c>
      <c r="F462" s="95"/>
      <c r="G462" s="108">
        <f>G463+G464</f>
        <v>3221.7</v>
      </c>
      <c r="H462" s="108">
        <f>H463+H464</f>
        <v>3221.7</v>
      </c>
    </row>
    <row r="463" spans="1:8" ht="31.5">
      <c r="A463" s="77" t="s">
        <v>432</v>
      </c>
      <c r="B463" s="149" t="s">
        <v>112</v>
      </c>
      <c r="C463" s="96" t="s">
        <v>212</v>
      </c>
      <c r="D463" s="96" t="s">
        <v>212</v>
      </c>
      <c r="E463" s="96" t="s">
        <v>827</v>
      </c>
      <c r="F463" s="96" t="s">
        <v>344</v>
      </c>
      <c r="G463" s="109">
        <v>3221.7</v>
      </c>
      <c r="H463" s="109">
        <f>G463</f>
        <v>3221.7</v>
      </c>
    </row>
    <row r="464" spans="1:8" hidden="1">
      <c r="A464" s="76" t="s">
        <v>263</v>
      </c>
      <c r="B464" s="149" t="s">
        <v>112</v>
      </c>
      <c r="C464" s="96" t="s">
        <v>212</v>
      </c>
      <c r="D464" s="96" t="s">
        <v>212</v>
      </c>
      <c r="E464" s="96" t="s">
        <v>827</v>
      </c>
      <c r="F464" s="96" t="s">
        <v>260</v>
      </c>
      <c r="G464" s="109">
        <v>0</v>
      </c>
      <c r="H464" s="109">
        <f>G464</f>
        <v>0</v>
      </c>
    </row>
    <row r="465" spans="1:8" ht="148.5" customHeight="1">
      <c r="A465" s="77" t="s">
        <v>725</v>
      </c>
      <c r="B465" s="149" t="s">
        <v>112</v>
      </c>
      <c r="C465" s="96" t="s">
        <v>212</v>
      </c>
      <c r="D465" s="96" t="s">
        <v>212</v>
      </c>
      <c r="E465" s="96" t="s">
        <v>827</v>
      </c>
      <c r="F465" s="96"/>
      <c r="G465" s="109">
        <f>G467+G466</f>
        <v>15</v>
      </c>
      <c r="H465" s="109">
        <f>H467</f>
        <v>0</v>
      </c>
    </row>
    <row r="466" spans="1:8" ht="41.25" customHeight="1">
      <c r="A466" s="77" t="s">
        <v>432</v>
      </c>
      <c r="B466" s="149" t="s">
        <v>112</v>
      </c>
      <c r="C466" s="96" t="s">
        <v>212</v>
      </c>
      <c r="D466" s="96" t="s">
        <v>212</v>
      </c>
      <c r="E466" s="96" t="s">
        <v>827</v>
      </c>
      <c r="F466" s="96" t="s">
        <v>344</v>
      </c>
      <c r="G466" s="109">
        <v>15</v>
      </c>
      <c r="H466" s="109">
        <v>0</v>
      </c>
    </row>
    <row r="467" spans="1:8" hidden="1">
      <c r="A467" s="76" t="s">
        <v>263</v>
      </c>
      <c r="B467" s="149" t="s">
        <v>112</v>
      </c>
      <c r="C467" s="96" t="s">
        <v>212</v>
      </c>
      <c r="D467" s="96" t="s">
        <v>212</v>
      </c>
      <c r="E467" s="96" t="s">
        <v>827</v>
      </c>
      <c r="F467" s="96" t="s">
        <v>260</v>
      </c>
      <c r="G467" s="109"/>
      <c r="H467" s="109">
        <v>0</v>
      </c>
    </row>
    <row r="468" spans="1:8" s="91" customFormat="1" ht="31.5">
      <c r="A468" s="77" t="s">
        <v>786</v>
      </c>
      <c r="B468" s="149" t="s">
        <v>112</v>
      </c>
      <c r="C468" s="95" t="s">
        <v>212</v>
      </c>
      <c r="D468" s="95" t="s">
        <v>212</v>
      </c>
      <c r="E468" s="95" t="s">
        <v>828</v>
      </c>
      <c r="F468" s="95"/>
      <c r="G468" s="108">
        <f>G469+G470</f>
        <v>3714.7</v>
      </c>
      <c r="H468" s="108">
        <f>H469+H470</f>
        <v>3714.7</v>
      </c>
    </row>
    <row r="469" spans="1:8" ht="31.5">
      <c r="A469" s="77" t="s">
        <v>432</v>
      </c>
      <c r="B469" s="149" t="s">
        <v>112</v>
      </c>
      <c r="C469" s="96" t="s">
        <v>212</v>
      </c>
      <c r="D469" s="96" t="s">
        <v>212</v>
      </c>
      <c r="E469" s="96" t="s">
        <v>828</v>
      </c>
      <c r="F469" s="96" t="s">
        <v>344</v>
      </c>
      <c r="G469" s="109">
        <v>3714.7</v>
      </c>
      <c r="H469" s="387">
        <f>G469</f>
        <v>3714.7</v>
      </c>
    </row>
    <row r="470" spans="1:8" hidden="1">
      <c r="A470" s="76" t="s">
        <v>263</v>
      </c>
      <c r="B470" s="149" t="s">
        <v>112</v>
      </c>
      <c r="C470" s="96" t="s">
        <v>212</v>
      </c>
      <c r="D470" s="96" t="s">
        <v>212</v>
      </c>
      <c r="E470" s="96" t="s">
        <v>828</v>
      </c>
      <c r="F470" s="96" t="s">
        <v>260</v>
      </c>
      <c r="G470" s="109"/>
      <c r="H470" s="387">
        <f>G470</f>
        <v>0</v>
      </c>
    </row>
    <row r="471" spans="1:8" ht="47.25" hidden="1">
      <c r="A471" s="77" t="s">
        <v>1122</v>
      </c>
      <c r="B471" s="149" t="s">
        <v>112</v>
      </c>
      <c r="C471" s="96" t="s">
        <v>212</v>
      </c>
      <c r="D471" s="96" t="s">
        <v>212</v>
      </c>
      <c r="E471" s="96" t="s">
        <v>828</v>
      </c>
      <c r="F471" s="96"/>
      <c r="G471" s="109">
        <f>G472</f>
        <v>0</v>
      </c>
      <c r="H471" s="387"/>
    </row>
    <row r="472" spans="1:8" hidden="1">
      <c r="A472" s="76" t="s">
        <v>263</v>
      </c>
      <c r="B472" s="149" t="s">
        <v>112</v>
      </c>
      <c r="C472" s="96" t="s">
        <v>212</v>
      </c>
      <c r="D472" s="96" t="s">
        <v>212</v>
      </c>
      <c r="E472" s="96" t="s">
        <v>828</v>
      </c>
      <c r="F472" s="96" t="s">
        <v>260</v>
      </c>
      <c r="G472" s="109"/>
      <c r="H472" s="387"/>
    </row>
    <row r="473" spans="1:8" ht="47.25">
      <c r="A473" s="76" t="s">
        <v>787</v>
      </c>
      <c r="B473" s="149" t="s">
        <v>112</v>
      </c>
      <c r="C473" s="96" t="s">
        <v>212</v>
      </c>
      <c r="D473" s="96" t="s">
        <v>212</v>
      </c>
      <c r="E473" s="96" t="s">
        <v>829</v>
      </c>
      <c r="F473" s="96"/>
      <c r="G473" s="109">
        <f>G474+G475+G476</f>
        <v>55.7</v>
      </c>
      <c r="H473" s="109">
        <f>H474+H475+H476</f>
        <v>55.7</v>
      </c>
    </row>
    <row r="474" spans="1:8">
      <c r="A474" s="76" t="s">
        <v>415</v>
      </c>
      <c r="B474" s="149" t="s">
        <v>112</v>
      </c>
      <c r="C474" s="96" t="s">
        <v>212</v>
      </c>
      <c r="D474" s="96" t="s">
        <v>212</v>
      </c>
      <c r="E474" s="96" t="s">
        <v>829</v>
      </c>
      <c r="F474" s="96" t="s">
        <v>423</v>
      </c>
      <c r="G474" s="109">
        <v>32.649000000000001</v>
      </c>
      <c r="H474" s="109">
        <f>G474</f>
        <v>32.649000000000001</v>
      </c>
    </row>
    <row r="475" spans="1:8" ht="47.25">
      <c r="A475" s="195" t="s">
        <v>416</v>
      </c>
      <c r="B475" s="149" t="s">
        <v>112</v>
      </c>
      <c r="C475" s="96" t="s">
        <v>212</v>
      </c>
      <c r="D475" s="96" t="s">
        <v>212</v>
      </c>
      <c r="E475" s="96" t="s">
        <v>829</v>
      </c>
      <c r="F475" s="96" t="s">
        <v>425</v>
      </c>
      <c r="G475" s="109">
        <v>9.8789999999999996</v>
      </c>
      <c r="H475" s="109">
        <f>G475</f>
        <v>9.8789999999999996</v>
      </c>
    </row>
    <row r="476" spans="1:8" ht="31.5">
      <c r="A476" s="152" t="s">
        <v>267</v>
      </c>
      <c r="B476" s="149" t="s">
        <v>112</v>
      </c>
      <c r="C476" s="96" t="s">
        <v>212</v>
      </c>
      <c r="D476" s="96" t="s">
        <v>212</v>
      </c>
      <c r="E476" s="96" t="s">
        <v>829</v>
      </c>
      <c r="F476" s="96" t="s">
        <v>401</v>
      </c>
      <c r="G476" s="109">
        <v>13.172000000000001</v>
      </c>
      <c r="H476" s="109">
        <f>G476</f>
        <v>13.172000000000001</v>
      </c>
    </row>
    <row r="477" spans="1:8" ht="47.25">
      <c r="A477" s="730" t="s">
        <v>971</v>
      </c>
      <c r="B477" s="186" t="s">
        <v>112</v>
      </c>
      <c r="C477" s="186" t="s">
        <v>212</v>
      </c>
      <c r="D477" s="186" t="s">
        <v>212</v>
      </c>
      <c r="E477" s="189" t="s">
        <v>982</v>
      </c>
      <c r="F477" s="186"/>
      <c r="G477" s="194">
        <f>G478</f>
        <v>1097.4000000000001</v>
      </c>
      <c r="H477" s="782">
        <v>0</v>
      </c>
    </row>
    <row r="478" spans="1:8" ht="31.5">
      <c r="A478" s="730" t="s">
        <v>988</v>
      </c>
      <c r="B478" s="186" t="s">
        <v>112</v>
      </c>
      <c r="C478" s="186" t="s">
        <v>212</v>
      </c>
      <c r="D478" s="186" t="s">
        <v>212</v>
      </c>
      <c r="E478" s="189" t="s">
        <v>979</v>
      </c>
      <c r="F478" s="186"/>
      <c r="G478" s="194">
        <f>G479</f>
        <v>1097.4000000000001</v>
      </c>
      <c r="H478" s="782">
        <v>0</v>
      </c>
    </row>
    <row r="479" spans="1:8">
      <c r="A479" s="169" t="s">
        <v>340</v>
      </c>
      <c r="B479" s="149" t="s">
        <v>112</v>
      </c>
      <c r="C479" s="149" t="s">
        <v>212</v>
      </c>
      <c r="D479" s="149" t="s">
        <v>212</v>
      </c>
      <c r="E479" s="204" t="s">
        <v>1124</v>
      </c>
      <c r="F479" s="149" t="s">
        <v>341</v>
      </c>
      <c r="G479" s="148">
        <v>1097.4000000000001</v>
      </c>
      <c r="H479" s="467">
        <v>0</v>
      </c>
    </row>
    <row r="480" spans="1:8" ht="31.5">
      <c r="A480" s="614" t="s">
        <v>1075</v>
      </c>
      <c r="B480" s="634" t="s">
        <v>112</v>
      </c>
      <c r="C480" s="634" t="s">
        <v>212</v>
      </c>
      <c r="D480" s="634" t="s">
        <v>212</v>
      </c>
      <c r="E480" s="634" t="s">
        <v>1103</v>
      </c>
      <c r="F480" s="634"/>
      <c r="G480" s="460">
        <f>G481</f>
        <v>200</v>
      </c>
      <c r="H480" s="104">
        <v>0</v>
      </c>
    </row>
    <row r="481" spans="1:8" ht="26.25">
      <c r="A481" s="1" t="s">
        <v>1105</v>
      </c>
      <c r="B481" s="96" t="s">
        <v>112</v>
      </c>
      <c r="C481" s="96" t="s">
        <v>212</v>
      </c>
      <c r="D481" s="96" t="s">
        <v>212</v>
      </c>
      <c r="E481" s="204" t="s">
        <v>1104</v>
      </c>
      <c r="F481" s="204"/>
      <c r="G481" s="148">
        <f>G482</f>
        <v>200</v>
      </c>
      <c r="H481" s="109">
        <v>0</v>
      </c>
    </row>
    <row r="482" spans="1:8">
      <c r="A482" s="169" t="s">
        <v>340</v>
      </c>
      <c r="B482" s="96" t="s">
        <v>112</v>
      </c>
      <c r="C482" s="96" t="s">
        <v>212</v>
      </c>
      <c r="D482" s="96" t="s">
        <v>212</v>
      </c>
      <c r="E482" s="204" t="s">
        <v>1104</v>
      </c>
      <c r="F482" s="204" t="s">
        <v>341</v>
      </c>
      <c r="G482" s="148">
        <v>200</v>
      </c>
      <c r="H482" s="109">
        <v>0</v>
      </c>
    </row>
    <row r="483" spans="1:8" s="91" customFormat="1">
      <c r="A483" s="233" t="s">
        <v>397</v>
      </c>
      <c r="B483" s="149" t="s">
        <v>112</v>
      </c>
      <c r="C483" s="234" t="s">
        <v>212</v>
      </c>
      <c r="D483" s="234" t="s">
        <v>214</v>
      </c>
      <c r="E483" s="234"/>
      <c r="F483" s="234"/>
      <c r="G483" s="235">
        <f>G488+G492+G495+G484</f>
        <v>20428.438469999994</v>
      </c>
      <c r="H483" s="235">
        <f>H488+H492+H495</f>
        <v>9838.2559999999994</v>
      </c>
    </row>
    <row r="484" spans="1:8" s="91" customFormat="1" ht="31.5">
      <c r="A484" s="614" t="s">
        <v>772</v>
      </c>
      <c r="B484" s="859">
        <v>936</v>
      </c>
      <c r="C484" s="634" t="s">
        <v>212</v>
      </c>
      <c r="D484" s="634" t="s">
        <v>214</v>
      </c>
      <c r="E484" s="634" t="s">
        <v>576</v>
      </c>
      <c r="F484" s="634"/>
      <c r="G484" s="460">
        <f t="shared" ref="G484:G486" si="29">G485</f>
        <v>100</v>
      </c>
      <c r="H484" s="868">
        <f>H485</f>
        <v>0</v>
      </c>
    </row>
    <row r="485" spans="1:8" s="91" customFormat="1" ht="31.5">
      <c r="A485" s="178" t="s">
        <v>774</v>
      </c>
      <c r="B485" s="180" t="s">
        <v>112</v>
      </c>
      <c r="C485" s="180" t="s">
        <v>212</v>
      </c>
      <c r="D485" s="180" t="s">
        <v>214</v>
      </c>
      <c r="E485" s="630" t="s">
        <v>519</v>
      </c>
      <c r="F485" s="180"/>
      <c r="G485" s="181">
        <f t="shared" si="29"/>
        <v>100</v>
      </c>
      <c r="H485" s="235">
        <f>H486</f>
        <v>0</v>
      </c>
    </row>
    <row r="486" spans="1:8" s="91" customFormat="1">
      <c r="A486" s="178" t="s">
        <v>876</v>
      </c>
      <c r="B486" s="180" t="s">
        <v>112</v>
      </c>
      <c r="C486" s="180" t="s">
        <v>212</v>
      </c>
      <c r="D486" s="180" t="s">
        <v>214</v>
      </c>
      <c r="E486" s="630" t="s">
        <v>519</v>
      </c>
      <c r="F486" s="180"/>
      <c r="G486" s="181">
        <f t="shared" si="29"/>
        <v>100</v>
      </c>
      <c r="H486" s="235">
        <f>H487</f>
        <v>0</v>
      </c>
    </row>
    <row r="487" spans="1:8" s="91" customFormat="1" ht="31.5">
      <c r="A487" s="152" t="s">
        <v>267</v>
      </c>
      <c r="B487" s="98">
        <v>936</v>
      </c>
      <c r="C487" s="96" t="s">
        <v>212</v>
      </c>
      <c r="D487" s="96" t="s">
        <v>214</v>
      </c>
      <c r="E487" s="456" t="s">
        <v>519</v>
      </c>
      <c r="F487" s="96" t="s">
        <v>401</v>
      </c>
      <c r="G487" s="109">
        <v>100</v>
      </c>
      <c r="H487" s="235">
        <v>0</v>
      </c>
    </row>
    <row r="488" spans="1:8" s="91" customFormat="1" ht="47.25">
      <c r="A488" s="614" t="s">
        <v>694</v>
      </c>
      <c r="B488" s="634" t="s">
        <v>112</v>
      </c>
      <c r="C488" s="634" t="s">
        <v>212</v>
      </c>
      <c r="D488" s="634" t="s">
        <v>214</v>
      </c>
      <c r="E488" s="634" t="s">
        <v>807</v>
      </c>
      <c r="F488" s="634"/>
      <c r="G488" s="460">
        <f t="shared" ref="G488:H489" si="30">G489</f>
        <v>300</v>
      </c>
      <c r="H488" s="460">
        <f t="shared" si="30"/>
        <v>0</v>
      </c>
    </row>
    <row r="489" spans="1:8" s="91" customFormat="1" ht="42" customHeight="1">
      <c r="A489" s="178" t="s">
        <v>439</v>
      </c>
      <c r="B489" s="186" t="s">
        <v>112</v>
      </c>
      <c r="C489" s="180" t="s">
        <v>212</v>
      </c>
      <c r="D489" s="180" t="s">
        <v>214</v>
      </c>
      <c r="E489" s="420" t="s">
        <v>830</v>
      </c>
      <c r="F489" s="180"/>
      <c r="G489" s="181">
        <f t="shared" si="30"/>
        <v>300</v>
      </c>
      <c r="H489" s="181">
        <f t="shared" si="30"/>
        <v>0</v>
      </c>
    </row>
    <row r="490" spans="1:8" s="91" customFormat="1" ht="38.25" customHeight="1">
      <c r="A490" s="178" t="s">
        <v>831</v>
      </c>
      <c r="B490" s="186" t="s">
        <v>112</v>
      </c>
      <c r="C490" s="180" t="s">
        <v>212</v>
      </c>
      <c r="D490" s="180" t="s">
        <v>214</v>
      </c>
      <c r="E490" s="420" t="s">
        <v>832</v>
      </c>
      <c r="F490" s="180"/>
      <c r="G490" s="181">
        <f>G491</f>
        <v>300</v>
      </c>
      <c r="H490" s="181">
        <f>H491</f>
        <v>0</v>
      </c>
    </row>
    <row r="491" spans="1:8" s="91" customFormat="1" ht="31.5">
      <c r="A491" s="245" t="s">
        <v>267</v>
      </c>
      <c r="B491" s="149" t="s">
        <v>112</v>
      </c>
      <c r="C491" s="149" t="s">
        <v>212</v>
      </c>
      <c r="D491" s="149" t="s">
        <v>214</v>
      </c>
      <c r="E491" s="149" t="s">
        <v>906</v>
      </c>
      <c r="F491" s="149" t="s">
        <v>401</v>
      </c>
      <c r="G491" s="121">
        <v>300</v>
      </c>
      <c r="H491" s="121">
        <v>0</v>
      </c>
    </row>
    <row r="492" spans="1:8" s="92" customFormat="1" ht="31.5">
      <c r="A492" s="625" t="s">
        <v>756</v>
      </c>
      <c r="B492" s="634" t="s">
        <v>112</v>
      </c>
      <c r="C492" s="183" t="s">
        <v>212</v>
      </c>
      <c r="D492" s="183" t="s">
        <v>214</v>
      </c>
      <c r="E492" s="867" t="s">
        <v>909</v>
      </c>
      <c r="F492" s="183"/>
      <c r="G492" s="460">
        <f t="shared" ref="G492:H493" si="31">G493</f>
        <v>150</v>
      </c>
      <c r="H492" s="185">
        <f t="shared" si="31"/>
        <v>0</v>
      </c>
    </row>
    <row r="493" spans="1:8" s="92" customFormat="1" ht="62.25" customHeight="1">
      <c r="A493" s="162" t="s">
        <v>873</v>
      </c>
      <c r="B493" s="191">
        <v>936</v>
      </c>
      <c r="C493" s="184" t="s">
        <v>212</v>
      </c>
      <c r="D493" s="184" t="s">
        <v>214</v>
      </c>
      <c r="E493" s="631" t="s">
        <v>849</v>
      </c>
      <c r="F493" s="175"/>
      <c r="G493" s="193">
        <f t="shared" si="31"/>
        <v>150</v>
      </c>
      <c r="H493" s="177">
        <f t="shared" si="31"/>
        <v>0</v>
      </c>
    </row>
    <row r="494" spans="1:8" s="90" customFormat="1" ht="31.5">
      <c r="A494" s="152" t="s">
        <v>267</v>
      </c>
      <c r="B494" s="149" t="s">
        <v>112</v>
      </c>
      <c r="C494" s="96" t="s">
        <v>212</v>
      </c>
      <c r="D494" s="96" t="s">
        <v>214</v>
      </c>
      <c r="E494" s="626" t="s">
        <v>757</v>
      </c>
      <c r="F494" s="96" t="s">
        <v>401</v>
      </c>
      <c r="G494" s="109">
        <v>150</v>
      </c>
      <c r="H494" s="109">
        <v>0</v>
      </c>
    </row>
    <row r="495" spans="1:8" s="90" customFormat="1" ht="50.25" customHeight="1">
      <c r="A495" s="614" t="s">
        <v>694</v>
      </c>
      <c r="B495" s="634" t="s">
        <v>112</v>
      </c>
      <c r="C495" s="634" t="s">
        <v>212</v>
      </c>
      <c r="D495" s="634" t="s">
        <v>214</v>
      </c>
      <c r="E495" s="634" t="s">
        <v>807</v>
      </c>
      <c r="F495" s="634"/>
      <c r="G495" s="460">
        <f>G496+G524</f>
        <v>19878.438469999994</v>
      </c>
      <c r="H495" s="460">
        <f>H496</f>
        <v>9838.2559999999994</v>
      </c>
    </row>
    <row r="496" spans="1:8" s="90" customFormat="1" ht="47.25">
      <c r="A496" s="152" t="s">
        <v>833</v>
      </c>
      <c r="B496" s="149" t="s">
        <v>112</v>
      </c>
      <c r="C496" s="95" t="s">
        <v>212</v>
      </c>
      <c r="D496" s="95" t="s">
        <v>214</v>
      </c>
      <c r="E496" s="626" t="s">
        <v>835</v>
      </c>
      <c r="F496" s="96"/>
      <c r="G496" s="109">
        <f>G497</f>
        <v>19778.438469999994</v>
      </c>
      <c r="H496" s="109">
        <f>H497</f>
        <v>9838.2559999999994</v>
      </c>
    </row>
    <row r="497" spans="1:8" s="90" customFormat="1" ht="71.25" customHeight="1">
      <c r="A497" s="152" t="s">
        <v>834</v>
      </c>
      <c r="B497" s="149" t="s">
        <v>112</v>
      </c>
      <c r="C497" s="95" t="s">
        <v>212</v>
      </c>
      <c r="D497" s="95" t="s">
        <v>214</v>
      </c>
      <c r="E497" s="626" t="s">
        <v>836</v>
      </c>
      <c r="F497" s="96"/>
      <c r="G497" s="109">
        <f>G498+G502+G512+G515+G518+G521</f>
        <v>19778.438469999994</v>
      </c>
      <c r="H497" s="109">
        <f>H498+H502+H512+H515+H518</f>
        <v>9838.2559999999994</v>
      </c>
    </row>
    <row r="498" spans="1:8" ht="31.5">
      <c r="A498" s="77" t="s">
        <v>412</v>
      </c>
      <c r="B498" s="149" t="s">
        <v>112</v>
      </c>
      <c r="C498" s="95" t="s">
        <v>212</v>
      </c>
      <c r="D498" s="95" t="s">
        <v>214</v>
      </c>
      <c r="E498" s="95" t="s">
        <v>837</v>
      </c>
      <c r="F498" s="95"/>
      <c r="G498" s="109">
        <f t="shared" ref="G498:H498" si="32">G499</f>
        <v>1363.0641800000001</v>
      </c>
      <c r="H498" s="109">
        <f t="shared" si="32"/>
        <v>0</v>
      </c>
    </row>
    <row r="499" spans="1:8" ht="31.5">
      <c r="A499" s="74" t="s">
        <v>382</v>
      </c>
      <c r="B499" s="149" t="s">
        <v>112</v>
      </c>
      <c r="C499" s="95" t="s">
        <v>212</v>
      </c>
      <c r="D499" s="95" t="s">
        <v>214</v>
      </c>
      <c r="E499" s="95" t="s">
        <v>838</v>
      </c>
      <c r="F499" s="95"/>
      <c r="G499" s="109">
        <f>G500+G501</f>
        <v>1363.0641800000001</v>
      </c>
      <c r="H499" s="109">
        <f>H500+H501</f>
        <v>0</v>
      </c>
    </row>
    <row r="500" spans="1:8">
      <c r="A500" s="76" t="s">
        <v>415</v>
      </c>
      <c r="B500" s="149" t="s">
        <v>112</v>
      </c>
      <c r="C500" s="96" t="s">
        <v>212</v>
      </c>
      <c r="D500" s="96" t="s">
        <v>214</v>
      </c>
      <c r="E500" s="95" t="s">
        <v>838</v>
      </c>
      <c r="F500" s="98">
        <v>121</v>
      </c>
      <c r="G500" s="109">
        <v>1046.90029</v>
      </c>
      <c r="H500" s="109">
        <v>0</v>
      </c>
    </row>
    <row r="501" spans="1:8" ht="47.25">
      <c r="A501" s="195" t="s">
        <v>416</v>
      </c>
      <c r="B501" s="149" t="s">
        <v>112</v>
      </c>
      <c r="C501" s="96" t="s">
        <v>212</v>
      </c>
      <c r="D501" s="96" t="s">
        <v>214</v>
      </c>
      <c r="E501" s="95" t="s">
        <v>838</v>
      </c>
      <c r="F501" s="98">
        <v>129</v>
      </c>
      <c r="G501" s="109">
        <v>316.16388999999998</v>
      </c>
      <c r="H501" s="109">
        <v>0</v>
      </c>
    </row>
    <row r="502" spans="1:8" ht="47.25">
      <c r="A502" s="77" t="s">
        <v>377</v>
      </c>
      <c r="B502" s="149" t="s">
        <v>112</v>
      </c>
      <c r="C502" s="95" t="s">
        <v>212</v>
      </c>
      <c r="D502" s="95" t="s">
        <v>214</v>
      </c>
      <c r="E502" s="95" t="s">
        <v>864</v>
      </c>
      <c r="F502" s="95"/>
      <c r="G502" s="148">
        <f>G503+G505+G506+G507+G508+G510+G511+G509+G504</f>
        <v>8296.1982900000003</v>
      </c>
      <c r="H502" s="148">
        <f t="shared" ref="H502" si="33">H503+H505+H506+H507+H508+H510+H511+H509+H504</f>
        <v>0</v>
      </c>
    </row>
    <row r="503" spans="1:8" s="207" customFormat="1">
      <c r="A503" s="206" t="s">
        <v>600</v>
      </c>
      <c r="B503" s="149" t="s">
        <v>112</v>
      </c>
      <c r="C503" s="204" t="s">
        <v>212</v>
      </c>
      <c r="D503" s="204" t="s">
        <v>214</v>
      </c>
      <c r="E503" s="96" t="s">
        <v>864</v>
      </c>
      <c r="F503" s="204" t="s">
        <v>423</v>
      </c>
      <c r="G503" s="199">
        <f>3330.75306-215.76037</f>
        <v>3114.99269</v>
      </c>
      <c r="H503" s="465">
        <v>0</v>
      </c>
    </row>
    <row r="504" spans="1:8" s="207" customFormat="1">
      <c r="A504" s="206" t="s">
        <v>1078</v>
      </c>
      <c r="B504" s="149" t="s">
        <v>112</v>
      </c>
      <c r="C504" s="204" t="s">
        <v>212</v>
      </c>
      <c r="D504" s="204" t="s">
        <v>214</v>
      </c>
      <c r="E504" s="96" t="s">
        <v>864</v>
      </c>
      <c r="F504" s="204" t="s">
        <v>424</v>
      </c>
      <c r="G504" s="199">
        <v>120</v>
      </c>
      <c r="H504" s="465">
        <v>0</v>
      </c>
    </row>
    <row r="505" spans="1:8" s="207" customFormat="1" ht="47.25" hidden="1">
      <c r="A505" s="206" t="s">
        <v>720</v>
      </c>
      <c r="B505" s="149" t="s">
        <v>112</v>
      </c>
      <c r="C505" s="204" t="s">
        <v>212</v>
      </c>
      <c r="D505" s="204" t="s">
        <v>214</v>
      </c>
      <c r="E505" s="96" t="s">
        <v>864</v>
      </c>
      <c r="F505" s="204" t="s">
        <v>719</v>
      </c>
      <c r="G505" s="199"/>
      <c r="H505" s="465">
        <v>0</v>
      </c>
    </row>
    <row r="506" spans="1:8" s="207" customFormat="1" ht="47.25">
      <c r="A506" s="206" t="s">
        <v>601</v>
      </c>
      <c r="B506" s="149" t="s">
        <v>112</v>
      </c>
      <c r="C506" s="204" t="s">
        <v>212</v>
      </c>
      <c r="D506" s="204" t="s">
        <v>214</v>
      </c>
      <c r="E506" s="96" t="s">
        <v>864</v>
      </c>
      <c r="F506" s="204" t="s">
        <v>425</v>
      </c>
      <c r="G506" s="199">
        <f>1005.88742-65.15963</f>
        <v>940.72779000000003</v>
      </c>
      <c r="H506" s="465">
        <v>0</v>
      </c>
    </row>
    <row r="507" spans="1:8" s="202" customFormat="1" ht="40.5" customHeight="1">
      <c r="A507" s="208" t="s">
        <v>406</v>
      </c>
      <c r="B507" s="149" t="s">
        <v>112</v>
      </c>
      <c r="C507" s="204" t="s">
        <v>212</v>
      </c>
      <c r="D507" s="204" t="s">
        <v>214</v>
      </c>
      <c r="E507" s="96" t="s">
        <v>864</v>
      </c>
      <c r="F507" s="204" t="s">
        <v>407</v>
      </c>
      <c r="G507" s="199">
        <f>180+341.8</f>
        <v>521.79999999999995</v>
      </c>
      <c r="H507" s="465">
        <v>0</v>
      </c>
    </row>
    <row r="508" spans="1:8" s="202" customFormat="1" ht="40.5" customHeight="1">
      <c r="A508" s="152" t="s">
        <v>267</v>
      </c>
      <c r="B508" s="149" t="s">
        <v>112</v>
      </c>
      <c r="C508" s="204" t="s">
        <v>212</v>
      </c>
      <c r="D508" s="204" t="s">
        <v>214</v>
      </c>
      <c r="E508" s="96" t="s">
        <v>864</v>
      </c>
      <c r="F508" s="204" t="s">
        <v>401</v>
      </c>
      <c r="G508" s="199">
        <f>3030.064+3.77366</f>
        <v>3033.8376599999997</v>
      </c>
      <c r="H508" s="465">
        <v>0</v>
      </c>
    </row>
    <row r="509" spans="1:8" s="202" customFormat="1" ht="40.5" customHeight="1">
      <c r="A509" s="3" t="s">
        <v>1026</v>
      </c>
      <c r="B509" s="149" t="s">
        <v>112</v>
      </c>
      <c r="C509" s="204" t="s">
        <v>212</v>
      </c>
      <c r="D509" s="204" t="s">
        <v>214</v>
      </c>
      <c r="E509" s="96" t="s">
        <v>864</v>
      </c>
      <c r="F509" s="204" t="s">
        <v>1025</v>
      </c>
      <c r="G509" s="199">
        <v>533.76014999999995</v>
      </c>
      <c r="H509" s="465">
        <v>0</v>
      </c>
    </row>
    <row r="510" spans="1:8" s="91" customFormat="1">
      <c r="A510" s="76" t="s">
        <v>403</v>
      </c>
      <c r="B510" s="149" t="s">
        <v>112</v>
      </c>
      <c r="C510" s="96" t="s">
        <v>212</v>
      </c>
      <c r="D510" s="96" t="s">
        <v>214</v>
      </c>
      <c r="E510" s="96" t="s">
        <v>864</v>
      </c>
      <c r="F510" s="110">
        <v>851</v>
      </c>
      <c r="G510" s="109">
        <v>4.9000000000000004</v>
      </c>
      <c r="H510" s="387">
        <v>0</v>
      </c>
    </row>
    <row r="511" spans="1:8" s="91" customFormat="1" ht="35.25" customHeight="1">
      <c r="A511" s="76" t="s">
        <v>268</v>
      </c>
      <c r="B511" s="149" t="s">
        <v>112</v>
      </c>
      <c r="C511" s="96" t="s">
        <v>212</v>
      </c>
      <c r="D511" s="96" t="s">
        <v>214</v>
      </c>
      <c r="E511" s="96" t="s">
        <v>864</v>
      </c>
      <c r="F511" s="110">
        <v>852</v>
      </c>
      <c r="G511" s="109">
        <v>26.18</v>
      </c>
      <c r="H511" s="387">
        <v>0</v>
      </c>
    </row>
    <row r="512" spans="1:8" s="91" customFormat="1" ht="47.25">
      <c r="A512" s="76" t="s">
        <v>426</v>
      </c>
      <c r="B512" s="149" t="s">
        <v>112</v>
      </c>
      <c r="C512" s="96" t="s">
        <v>212</v>
      </c>
      <c r="D512" s="96" t="s">
        <v>214</v>
      </c>
      <c r="E512" s="96" t="s">
        <v>865</v>
      </c>
      <c r="F512" s="110"/>
      <c r="G512" s="109">
        <f>G513+G514</f>
        <v>48.300000000000004</v>
      </c>
      <c r="H512" s="109">
        <f>H513+H514</f>
        <v>48.300000000000004</v>
      </c>
    </row>
    <row r="513" spans="1:8" s="91" customFormat="1">
      <c r="A513" s="206" t="s">
        <v>600</v>
      </c>
      <c r="B513" s="149" t="s">
        <v>112</v>
      </c>
      <c r="C513" s="96" t="s">
        <v>212</v>
      </c>
      <c r="D513" s="96" t="s">
        <v>214</v>
      </c>
      <c r="E513" s="96" t="s">
        <v>865</v>
      </c>
      <c r="F513" s="110">
        <v>111</v>
      </c>
      <c r="G513" s="109">
        <v>37.096780000000003</v>
      </c>
      <c r="H513" s="387">
        <f>G513</f>
        <v>37.096780000000003</v>
      </c>
    </row>
    <row r="514" spans="1:8" s="91" customFormat="1" ht="47.25">
      <c r="A514" s="206" t="s">
        <v>601</v>
      </c>
      <c r="B514" s="149" t="s">
        <v>112</v>
      </c>
      <c r="C514" s="96" t="s">
        <v>212</v>
      </c>
      <c r="D514" s="96" t="s">
        <v>214</v>
      </c>
      <c r="E514" s="96" t="s">
        <v>865</v>
      </c>
      <c r="F514" s="110">
        <v>119</v>
      </c>
      <c r="G514" s="109">
        <v>11.20322</v>
      </c>
      <c r="H514" s="387">
        <f>G514</f>
        <v>11.20322</v>
      </c>
    </row>
    <row r="515" spans="1:8" s="91" customFormat="1" ht="94.5">
      <c r="A515" s="77" t="s">
        <v>546</v>
      </c>
      <c r="B515" s="149" t="s">
        <v>112</v>
      </c>
      <c r="C515" s="95" t="s">
        <v>212</v>
      </c>
      <c r="D515" s="95" t="s">
        <v>214</v>
      </c>
      <c r="E515" s="213"/>
      <c r="F515" s="95"/>
      <c r="G515" s="108">
        <f>G516+G517</f>
        <v>84.800000000000011</v>
      </c>
      <c r="H515" s="108">
        <f>H516+H517</f>
        <v>84.800000000000011</v>
      </c>
    </row>
    <row r="516" spans="1:8">
      <c r="A516" s="206" t="s">
        <v>600</v>
      </c>
      <c r="B516" s="149" t="s">
        <v>112</v>
      </c>
      <c r="C516" s="96" t="s">
        <v>212</v>
      </c>
      <c r="D516" s="96" t="s">
        <v>214</v>
      </c>
      <c r="E516" s="96" t="s">
        <v>866</v>
      </c>
      <c r="F516" s="96" t="s">
        <v>423</v>
      </c>
      <c r="G516" s="109">
        <v>65.130570000000006</v>
      </c>
      <c r="H516" s="109">
        <f>G516</f>
        <v>65.130570000000006</v>
      </c>
    </row>
    <row r="517" spans="1:8" ht="47.25">
      <c r="A517" s="550" t="s">
        <v>601</v>
      </c>
      <c r="B517" s="149" t="s">
        <v>112</v>
      </c>
      <c r="C517" s="96" t="s">
        <v>212</v>
      </c>
      <c r="D517" s="96" t="s">
        <v>214</v>
      </c>
      <c r="E517" s="96" t="s">
        <v>866</v>
      </c>
      <c r="F517" s="96" t="s">
        <v>425</v>
      </c>
      <c r="G517" s="109">
        <v>19.669429999999998</v>
      </c>
      <c r="H517" s="109">
        <f>G517</f>
        <v>19.669429999999998</v>
      </c>
    </row>
    <row r="518" spans="1:8" ht="63">
      <c r="A518" s="74" t="s">
        <v>789</v>
      </c>
      <c r="B518" s="149" t="s">
        <v>112</v>
      </c>
      <c r="C518" s="95" t="s">
        <v>212</v>
      </c>
      <c r="D518" s="95" t="s">
        <v>214</v>
      </c>
      <c r="E518" s="95" t="s">
        <v>867</v>
      </c>
      <c r="F518" s="95"/>
      <c r="G518" s="148">
        <f>G519+G520</f>
        <v>9705.155999999999</v>
      </c>
      <c r="H518" s="148">
        <f>H519+H520</f>
        <v>9705.155999999999</v>
      </c>
    </row>
    <row r="519" spans="1:8">
      <c r="A519" s="206" t="s">
        <v>600</v>
      </c>
      <c r="B519" s="149" t="s">
        <v>112</v>
      </c>
      <c r="C519" s="96" t="s">
        <v>212</v>
      </c>
      <c r="D519" s="96" t="s">
        <v>214</v>
      </c>
      <c r="E519" s="96" t="s">
        <v>867</v>
      </c>
      <c r="F519" s="96" t="s">
        <v>423</v>
      </c>
      <c r="G519" s="109">
        <v>7454.0368699999999</v>
      </c>
      <c r="H519" s="109">
        <f t="shared" ref="H519:H520" si="34">G519</f>
        <v>7454.0368699999999</v>
      </c>
    </row>
    <row r="520" spans="1:8" ht="47.25">
      <c r="A520" s="550" t="s">
        <v>601</v>
      </c>
      <c r="B520" s="149" t="s">
        <v>112</v>
      </c>
      <c r="C520" s="96" t="s">
        <v>212</v>
      </c>
      <c r="D520" s="96" t="s">
        <v>214</v>
      </c>
      <c r="E520" s="96" t="s">
        <v>867</v>
      </c>
      <c r="F520" s="96" t="s">
        <v>425</v>
      </c>
      <c r="G520" s="109">
        <v>2251.11913</v>
      </c>
      <c r="H520" s="109">
        <f t="shared" si="34"/>
        <v>2251.11913</v>
      </c>
    </row>
    <row r="521" spans="1:8" s="91" customFormat="1" ht="78.75">
      <c r="A521" s="74" t="s">
        <v>790</v>
      </c>
      <c r="B521" s="149" t="s">
        <v>112</v>
      </c>
      <c r="C521" s="95" t="s">
        <v>212</v>
      </c>
      <c r="D521" s="95" t="s">
        <v>214</v>
      </c>
      <c r="E521" s="96" t="s">
        <v>867</v>
      </c>
      <c r="F521" s="95"/>
      <c r="G521" s="148">
        <f>G522+G523</f>
        <v>280.92</v>
      </c>
      <c r="H521" s="148">
        <f>H522+H523</f>
        <v>0</v>
      </c>
    </row>
    <row r="522" spans="1:8">
      <c r="A522" s="76" t="s">
        <v>600</v>
      </c>
      <c r="B522" s="149" t="s">
        <v>112</v>
      </c>
      <c r="C522" s="96" t="s">
        <v>212</v>
      </c>
      <c r="D522" s="96" t="s">
        <v>214</v>
      </c>
      <c r="E522" s="96" t="s">
        <v>867</v>
      </c>
      <c r="F522" s="96" t="s">
        <v>423</v>
      </c>
      <c r="G522" s="109">
        <v>215.76036999999999</v>
      </c>
      <c r="H522" s="109">
        <v>0</v>
      </c>
    </row>
    <row r="523" spans="1:8" ht="47.25">
      <c r="A523" s="550" t="s">
        <v>601</v>
      </c>
      <c r="B523" s="149" t="s">
        <v>112</v>
      </c>
      <c r="C523" s="96" t="s">
        <v>212</v>
      </c>
      <c r="D523" s="96" t="s">
        <v>214</v>
      </c>
      <c r="E523" s="96" t="s">
        <v>867</v>
      </c>
      <c r="F523" s="96" t="s">
        <v>425</v>
      </c>
      <c r="G523" s="109">
        <v>65.159630000000007</v>
      </c>
      <c r="H523" s="109">
        <v>0</v>
      </c>
    </row>
    <row r="524" spans="1:8" ht="31.5">
      <c r="A524" s="730" t="s">
        <v>973</v>
      </c>
      <c r="B524" s="186" t="s">
        <v>112</v>
      </c>
      <c r="C524" s="186" t="s">
        <v>212</v>
      </c>
      <c r="D524" s="186" t="s">
        <v>214</v>
      </c>
      <c r="E524" s="189" t="s">
        <v>980</v>
      </c>
      <c r="F524" s="186"/>
      <c r="G524" s="194">
        <f>G525</f>
        <v>100</v>
      </c>
      <c r="H524" s="194">
        <v>0</v>
      </c>
    </row>
    <row r="525" spans="1:8" ht="34.5" customHeight="1">
      <c r="A525" s="730" t="s">
        <v>987</v>
      </c>
      <c r="B525" s="186" t="s">
        <v>112</v>
      </c>
      <c r="C525" s="186" t="s">
        <v>212</v>
      </c>
      <c r="D525" s="186" t="s">
        <v>214</v>
      </c>
      <c r="E525" s="189" t="s">
        <v>981</v>
      </c>
      <c r="F525" s="186"/>
      <c r="G525" s="194">
        <f>G526</f>
        <v>100</v>
      </c>
      <c r="H525" s="194">
        <v>0</v>
      </c>
    </row>
    <row r="526" spans="1:8" s="207" customFormat="1" ht="31.5">
      <c r="A526" s="2" t="s">
        <v>1055</v>
      </c>
      <c r="B526" s="149" t="s">
        <v>112</v>
      </c>
      <c r="C526" s="96" t="s">
        <v>212</v>
      </c>
      <c r="D526" s="96" t="s">
        <v>214</v>
      </c>
      <c r="E526" s="341" t="s">
        <v>986</v>
      </c>
      <c r="F526" s="204"/>
      <c r="G526" s="199">
        <f>G527</f>
        <v>100</v>
      </c>
      <c r="H526" s="199">
        <v>0</v>
      </c>
    </row>
    <row r="527" spans="1:8" ht="47.25">
      <c r="A527" s="206" t="s">
        <v>720</v>
      </c>
      <c r="B527" s="149" t="s">
        <v>112</v>
      </c>
      <c r="C527" s="96" t="s">
        <v>212</v>
      </c>
      <c r="D527" s="96" t="s">
        <v>214</v>
      </c>
      <c r="E527" s="341" t="s">
        <v>986</v>
      </c>
      <c r="F527" s="96" t="s">
        <v>719</v>
      </c>
      <c r="G527" s="109">
        <v>100</v>
      </c>
      <c r="H527" s="109">
        <v>0</v>
      </c>
    </row>
    <row r="528" spans="1:8">
      <c r="A528" s="79" t="s">
        <v>391</v>
      </c>
      <c r="B528" s="336" t="s">
        <v>112</v>
      </c>
      <c r="C528" s="103" t="s">
        <v>215</v>
      </c>
      <c r="D528" s="103" t="s">
        <v>213</v>
      </c>
      <c r="E528" s="106"/>
      <c r="F528" s="103"/>
      <c r="G528" s="104">
        <f>G530+G533</f>
        <v>3000</v>
      </c>
      <c r="H528" s="104">
        <f>H530+H533</f>
        <v>3000</v>
      </c>
    </row>
    <row r="529" spans="1:8" ht="47.25">
      <c r="A529" s="736" t="s">
        <v>693</v>
      </c>
      <c r="B529" s="186" t="s">
        <v>112</v>
      </c>
      <c r="C529" s="186" t="s">
        <v>215</v>
      </c>
      <c r="D529" s="186" t="s">
        <v>213</v>
      </c>
      <c r="E529" s="737" t="s">
        <v>800</v>
      </c>
      <c r="F529" s="186"/>
      <c r="G529" s="194">
        <f>G530+G533</f>
        <v>3000</v>
      </c>
      <c r="H529" s="194">
        <f>H530+H533</f>
        <v>3000</v>
      </c>
    </row>
    <row r="530" spans="1:8" ht="31.5">
      <c r="A530" s="342" t="s">
        <v>447</v>
      </c>
      <c r="B530" s="149" t="s">
        <v>112</v>
      </c>
      <c r="C530" s="96" t="s">
        <v>215</v>
      </c>
      <c r="D530" s="96" t="s">
        <v>213</v>
      </c>
      <c r="E530" s="96" t="s">
        <v>801</v>
      </c>
      <c r="F530" s="96"/>
      <c r="G530" s="109">
        <f>G531</f>
        <v>2900</v>
      </c>
      <c r="H530" s="109">
        <f>H531</f>
        <v>2900</v>
      </c>
    </row>
    <row r="531" spans="1:8" ht="220.5">
      <c r="A531" s="312" t="s">
        <v>715</v>
      </c>
      <c r="B531" s="149" t="s">
        <v>112</v>
      </c>
      <c r="C531" s="96" t="s">
        <v>215</v>
      </c>
      <c r="D531" s="96" t="s">
        <v>213</v>
      </c>
      <c r="E531" s="95"/>
      <c r="F531" s="96"/>
      <c r="G531" s="109">
        <f>G532</f>
        <v>2900</v>
      </c>
      <c r="H531" s="109">
        <f t="shared" ref="H531:H532" si="35">G531</f>
        <v>2900</v>
      </c>
    </row>
    <row r="532" spans="1:8">
      <c r="A532" s="169" t="s">
        <v>263</v>
      </c>
      <c r="B532" s="149" t="s">
        <v>112</v>
      </c>
      <c r="C532" s="96" t="s">
        <v>215</v>
      </c>
      <c r="D532" s="96" t="s">
        <v>213</v>
      </c>
      <c r="E532" s="149" t="s">
        <v>885</v>
      </c>
      <c r="F532" s="149" t="s">
        <v>260</v>
      </c>
      <c r="G532" s="109">
        <v>2900</v>
      </c>
      <c r="H532" s="109">
        <f t="shared" si="35"/>
        <v>2900</v>
      </c>
    </row>
    <row r="533" spans="1:8" ht="47.25">
      <c r="A533" s="735" t="s">
        <v>445</v>
      </c>
      <c r="B533" s="149" t="s">
        <v>112</v>
      </c>
      <c r="C533" s="96" t="s">
        <v>215</v>
      </c>
      <c r="D533" s="96" t="s">
        <v>213</v>
      </c>
      <c r="E533" s="149" t="s">
        <v>899</v>
      </c>
      <c r="F533" s="149"/>
      <c r="G533" s="109">
        <f t="shared" ref="G533:H534" si="36">G534</f>
        <v>100</v>
      </c>
      <c r="H533" s="109">
        <f t="shared" si="36"/>
        <v>100</v>
      </c>
    </row>
    <row r="534" spans="1:8" ht="231.75" customHeight="1">
      <c r="A534" s="312" t="s">
        <v>715</v>
      </c>
      <c r="B534" s="149" t="s">
        <v>112</v>
      </c>
      <c r="C534" s="96" t="s">
        <v>215</v>
      </c>
      <c r="D534" s="96" t="s">
        <v>213</v>
      </c>
      <c r="E534" s="149" t="s">
        <v>899</v>
      </c>
      <c r="F534" s="149"/>
      <c r="G534" s="109">
        <f>G535</f>
        <v>100</v>
      </c>
      <c r="H534" s="109">
        <f t="shared" si="36"/>
        <v>100</v>
      </c>
    </row>
    <row r="535" spans="1:8">
      <c r="A535" s="169" t="s">
        <v>263</v>
      </c>
      <c r="B535" s="149" t="s">
        <v>112</v>
      </c>
      <c r="C535" s="96" t="s">
        <v>215</v>
      </c>
      <c r="D535" s="96" t="s">
        <v>213</v>
      </c>
      <c r="E535" s="149" t="s">
        <v>899</v>
      </c>
      <c r="F535" s="149" t="s">
        <v>260</v>
      </c>
      <c r="G535" s="109">
        <v>100</v>
      </c>
      <c r="H535" s="109">
        <f>G535</f>
        <v>100</v>
      </c>
    </row>
    <row r="536" spans="1:8" ht="37.5">
      <c r="A536" s="553" t="s">
        <v>613</v>
      </c>
      <c r="B536" s="554" t="s">
        <v>612</v>
      </c>
      <c r="C536" s="555"/>
      <c r="D536" s="555"/>
      <c r="E536" s="554"/>
      <c r="F536" s="554"/>
      <c r="G536" s="556">
        <f>G537+G545+G564+G591</f>
        <v>222984.73265000002</v>
      </c>
      <c r="H536" s="556">
        <f>H537+H545+H564+H591</f>
        <v>202056.5</v>
      </c>
    </row>
    <row r="537" spans="1:8">
      <c r="A537" s="79" t="s">
        <v>264</v>
      </c>
      <c r="B537" s="106" t="s">
        <v>612</v>
      </c>
      <c r="C537" s="106" t="s">
        <v>219</v>
      </c>
      <c r="D537" s="106" t="s">
        <v>214</v>
      </c>
      <c r="E537" s="106"/>
      <c r="F537" s="106"/>
      <c r="G537" s="107">
        <f>G538+G543</f>
        <v>16306.691000000001</v>
      </c>
      <c r="H537" s="107">
        <f>H538+H543</f>
        <v>7516.6</v>
      </c>
    </row>
    <row r="538" spans="1:8" ht="38.25" customHeight="1">
      <c r="A538" s="491" t="s">
        <v>756</v>
      </c>
      <c r="B538" s="666" t="s">
        <v>612</v>
      </c>
      <c r="C538" s="666" t="s">
        <v>219</v>
      </c>
      <c r="D538" s="666" t="s">
        <v>214</v>
      </c>
      <c r="E538" s="667" t="s">
        <v>909</v>
      </c>
      <c r="F538" s="666"/>
      <c r="G538" s="668">
        <f>G539+G541</f>
        <v>16306.691000000001</v>
      </c>
      <c r="H538" s="668">
        <f>H539+H541</f>
        <v>7516.6</v>
      </c>
    </row>
    <row r="539" spans="1:8" ht="78.75">
      <c r="A539" s="162" t="s">
        <v>873</v>
      </c>
      <c r="B539" s="95" t="s">
        <v>612</v>
      </c>
      <c r="C539" s="95" t="s">
        <v>219</v>
      </c>
      <c r="D539" s="95" t="s">
        <v>214</v>
      </c>
      <c r="E539" s="626" t="s">
        <v>909</v>
      </c>
      <c r="F539" s="95"/>
      <c r="G539" s="108">
        <f>G540</f>
        <v>8790.0910000000003</v>
      </c>
      <c r="H539" s="108">
        <f>H540</f>
        <v>0</v>
      </c>
    </row>
    <row r="540" spans="1:8" ht="31.5">
      <c r="A540" s="152" t="s">
        <v>267</v>
      </c>
      <c r="B540" s="96" t="s">
        <v>612</v>
      </c>
      <c r="C540" s="95" t="s">
        <v>219</v>
      </c>
      <c r="D540" s="95" t="s">
        <v>214</v>
      </c>
      <c r="E540" s="626" t="s">
        <v>757</v>
      </c>
      <c r="F540" s="96" t="s">
        <v>401</v>
      </c>
      <c r="G540" s="109">
        <f>13573.5-3633.409-1000-150</f>
        <v>8790.0910000000003</v>
      </c>
      <c r="H540" s="109">
        <v>0</v>
      </c>
    </row>
    <row r="541" spans="1:8" ht="47.25">
      <c r="A541" s="162" t="s">
        <v>754</v>
      </c>
      <c r="B541" s="95" t="s">
        <v>612</v>
      </c>
      <c r="C541" s="95" t="s">
        <v>219</v>
      </c>
      <c r="D541" s="95" t="s">
        <v>214</v>
      </c>
      <c r="E541" s="96" t="s">
        <v>929</v>
      </c>
      <c r="F541" s="96"/>
      <c r="G541" s="109">
        <f>G542</f>
        <v>7516.6</v>
      </c>
      <c r="H541" s="109">
        <f>H542</f>
        <v>7516.6</v>
      </c>
    </row>
    <row r="542" spans="1:8" ht="31.5">
      <c r="A542" s="152" t="s">
        <v>267</v>
      </c>
      <c r="B542" s="96" t="s">
        <v>612</v>
      </c>
      <c r="C542" s="96" t="s">
        <v>219</v>
      </c>
      <c r="D542" s="96" t="s">
        <v>214</v>
      </c>
      <c r="E542" s="96" t="s">
        <v>929</v>
      </c>
      <c r="F542" s="96" t="s">
        <v>401</v>
      </c>
      <c r="G542" s="109">
        <v>7516.6</v>
      </c>
      <c r="H542" s="109">
        <f>G542</f>
        <v>7516.6</v>
      </c>
    </row>
    <row r="543" spans="1:8" ht="31.5" hidden="1">
      <c r="A543" s="152" t="s">
        <v>1183</v>
      </c>
      <c r="B543" s="96" t="s">
        <v>612</v>
      </c>
      <c r="C543" s="96" t="s">
        <v>219</v>
      </c>
      <c r="D543" s="96" t="s">
        <v>214</v>
      </c>
      <c r="E543" s="96" t="s">
        <v>1184</v>
      </c>
      <c r="F543" s="96"/>
      <c r="G543" s="109">
        <f>G544</f>
        <v>0</v>
      </c>
      <c r="H543" s="109">
        <f>H544</f>
        <v>0</v>
      </c>
    </row>
    <row r="544" spans="1:8" ht="31.5" hidden="1">
      <c r="A544" s="152" t="s">
        <v>267</v>
      </c>
      <c r="B544" s="96" t="s">
        <v>612</v>
      </c>
      <c r="C544" s="96" t="s">
        <v>219</v>
      </c>
      <c r="D544" s="96" t="s">
        <v>214</v>
      </c>
      <c r="E544" s="96" t="s">
        <v>1184</v>
      </c>
      <c r="F544" s="96" t="s">
        <v>401</v>
      </c>
      <c r="G544" s="109"/>
      <c r="H544" s="109">
        <f>G544</f>
        <v>0</v>
      </c>
    </row>
    <row r="545" spans="1:8">
      <c r="A545" s="79" t="s">
        <v>52</v>
      </c>
      <c r="B545" s="149" t="s">
        <v>612</v>
      </c>
      <c r="C545" s="96" t="s">
        <v>219</v>
      </c>
      <c r="D545" s="96" t="s">
        <v>217</v>
      </c>
      <c r="E545" s="149"/>
      <c r="F545" s="149"/>
      <c r="G545" s="109">
        <f>G546+G553</f>
        <v>20751.416859999998</v>
      </c>
      <c r="H545" s="109">
        <f>H546+H553</f>
        <v>11573.2</v>
      </c>
    </row>
    <row r="546" spans="1:8" ht="31.5">
      <c r="A546" s="416" t="s">
        <v>1211</v>
      </c>
      <c r="B546" s="184" t="s">
        <v>612</v>
      </c>
      <c r="C546" s="184" t="s">
        <v>219</v>
      </c>
      <c r="D546" s="184" t="s">
        <v>217</v>
      </c>
      <c r="E546" s="191" t="s">
        <v>727</v>
      </c>
      <c r="F546" s="184"/>
      <c r="G546" s="193">
        <f>G547</f>
        <v>14908.5</v>
      </c>
      <c r="H546" s="193">
        <f>H547</f>
        <v>7428.5</v>
      </c>
    </row>
    <row r="547" spans="1:8" ht="47.25">
      <c r="A547" s="416" t="s">
        <v>862</v>
      </c>
      <c r="B547" s="184" t="s">
        <v>612</v>
      </c>
      <c r="C547" s="184" t="s">
        <v>219</v>
      </c>
      <c r="D547" s="184" t="s">
        <v>217</v>
      </c>
      <c r="E547" s="191" t="s">
        <v>727</v>
      </c>
      <c r="F547" s="184"/>
      <c r="G547" s="193">
        <f>G548+G550+G552</f>
        <v>14908.5</v>
      </c>
      <c r="H547" s="193">
        <f>H548+H550+H552</f>
        <v>7428.5</v>
      </c>
    </row>
    <row r="548" spans="1:8" ht="31.5">
      <c r="A548" s="152" t="s">
        <v>267</v>
      </c>
      <c r="B548" s="96" t="s">
        <v>612</v>
      </c>
      <c r="C548" s="96" t="s">
        <v>219</v>
      </c>
      <c r="D548" s="96" t="s">
        <v>217</v>
      </c>
      <c r="E548" s="170" t="s">
        <v>577</v>
      </c>
      <c r="F548" s="96" t="s">
        <v>401</v>
      </c>
      <c r="G548" s="109">
        <v>6680</v>
      </c>
      <c r="H548" s="109">
        <v>0</v>
      </c>
    </row>
    <row r="549" spans="1:8" ht="63">
      <c r="A549" s="74" t="s">
        <v>99</v>
      </c>
      <c r="B549" s="97">
        <v>937</v>
      </c>
      <c r="C549" s="95" t="s">
        <v>219</v>
      </c>
      <c r="D549" s="95" t="s">
        <v>217</v>
      </c>
      <c r="E549" s="96" t="s">
        <v>752</v>
      </c>
      <c r="F549" s="95"/>
      <c r="G549" s="109">
        <f>G550</f>
        <v>7428.5</v>
      </c>
      <c r="H549" s="109">
        <f>H550</f>
        <v>7428.5</v>
      </c>
    </row>
    <row r="550" spans="1:8" ht="31.5">
      <c r="A550" s="152" t="s">
        <v>267</v>
      </c>
      <c r="B550" s="98">
        <v>937</v>
      </c>
      <c r="C550" s="96" t="s">
        <v>219</v>
      </c>
      <c r="D550" s="96" t="s">
        <v>217</v>
      </c>
      <c r="E550" s="96" t="s">
        <v>752</v>
      </c>
      <c r="F550" s="96" t="s">
        <v>401</v>
      </c>
      <c r="G550" s="109">
        <v>7428.5</v>
      </c>
      <c r="H550" s="109">
        <f>G550</f>
        <v>7428.5</v>
      </c>
    </row>
    <row r="551" spans="1:8" ht="78.75">
      <c r="A551" s="74" t="s">
        <v>557</v>
      </c>
      <c r="B551" s="97">
        <v>937</v>
      </c>
      <c r="C551" s="95" t="s">
        <v>219</v>
      </c>
      <c r="D551" s="95" t="s">
        <v>217</v>
      </c>
      <c r="E551" s="96" t="s">
        <v>752</v>
      </c>
      <c r="F551" s="96"/>
      <c r="G551" s="109">
        <f>G552</f>
        <v>800</v>
      </c>
      <c r="H551" s="109">
        <f>H552</f>
        <v>0</v>
      </c>
    </row>
    <row r="552" spans="1:8" ht="31.5">
      <c r="A552" s="152" t="s">
        <v>267</v>
      </c>
      <c r="B552" s="98">
        <v>937</v>
      </c>
      <c r="C552" s="96" t="s">
        <v>219</v>
      </c>
      <c r="D552" s="96" t="s">
        <v>217</v>
      </c>
      <c r="E552" s="96" t="s">
        <v>752</v>
      </c>
      <c r="F552" s="96" t="s">
        <v>401</v>
      </c>
      <c r="G552" s="109">
        <v>800</v>
      </c>
      <c r="H552" s="109">
        <v>0</v>
      </c>
    </row>
    <row r="553" spans="1:8" ht="47.25">
      <c r="A553" s="173" t="s">
        <v>1231</v>
      </c>
      <c r="B553" s="175" t="s">
        <v>612</v>
      </c>
      <c r="C553" s="175" t="s">
        <v>219</v>
      </c>
      <c r="D553" s="175" t="s">
        <v>217</v>
      </c>
      <c r="E553" s="175" t="s">
        <v>551</v>
      </c>
      <c r="F553" s="175"/>
      <c r="G553" s="177">
        <f>G554</f>
        <v>5842.9168599999994</v>
      </c>
      <c r="H553" s="177">
        <f>H554</f>
        <v>4144.7</v>
      </c>
    </row>
    <row r="554" spans="1:8" ht="47.25">
      <c r="A554" s="173" t="s">
        <v>863</v>
      </c>
      <c r="B554" s="175" t="s">
        <v>612</v>
      </c>
      <c r="C554" s="175" t="s">
        <v>219</v>
      </c>
      <c r="D554" s="175" t="s">
        <v>217</v>
      </c>
      <c r="E554" s="175" t="s">
        <v>551</v>
      </c>
      <c r="F554" s="175"/>
      <c r="G554" s="177">
        <f>G555+G557+G558+G560+G562</f>
        <v>5842.9168599999994</v>
      </c>
      <c r="H554" s="177">
        <f>H555+H557+H558+H560+H562</f>
        <v>4144.7</v>
      </c>
    </row>
    <row r="555" spans="1:8" ht="31.5">
      <c r="A555" s="152" t="s">
        <v>267</v>
      </c>
      <c r="B555" s="96" t="s">
        <v>612</v>
      </c>
      <c r="C555" s="96" t="s">
        <v>219</v>
      </c>
      <c r="D555" s="96" t="s">
        <v>217</v>
      </c>
      <c r="E555" s="96" t="s">
        <v>515</v>
      </c>
      <c r="F555" s="96" t="s">
        <v>401</v>
      </c>
      <c r="G555" s="109">
        <v>1535.6244300000001</v>
      </c>
      <c r="H555" s="109">
        <v>0</v>
      </c>
    </row>
    <row r="556" spans="1:8" ht="47.25">
      <c r="A556" s="74" t="s">
        <v>427</v>
      </c>
      <c r="B556" s="95" t="s">
        <v>612</v>
      </c>
      <c r="C556" s="95" t="s">
        <v>219</v>
      </c>
      <c r="D556" s="95" t="s">
        <v>217</v>
      </c>
      <c r="E556" s="95" t="s">
        <v>558</v>
      </c>
      <c r="F556" s="95"/>
      <c r="G556" s="108">
        <f>G557</f>
        <v>607.79999999999995</v>
      </c>
      <c r="H556" s="108">
        <f>H557</f>
        <v>607.79999999999995</v>
      </c>
    </row>
    <row r="557" spans="1:8" ht="31.5">
      <c r="A557" s="152" t="s">
        <v>267</v>
      </c>
      <c r="B557" s="96" t="s">
        <v>612</v>
      </c>
      <c r="C557" s="96" t="s">
        <v>219</v>
      </c>
      <c r="D557" s="96" t="s">
        <v>217</v>
      </c>
      <c r="E557" s="95" t="s">
        <v>558</v>
      </c>
      <c r="F557" s="96" t="s">
        <v>401</v>
      </c>
      <c r="G557" s="109">
        <v>607.79999999999995</v>
      </c>
      <c r="H557" s="109">
        <f>G557</f>
        <v>607.79999999999995</v>
      </c>
    </row>
    <row r="558" spans="1:8" ht="59.25" customHeight="1">
      <c r="A558" s="457" t="s">
        <v>559</v>
      </c>
      <c r="B558" s="95" t="s">
        <v>612</v>
      </c>
      <c r="C558" s="95" t="s">
        <v>219</v>
      </c>
      <c r="D558" s="95" t="s">
        <v>217</v>
      </c>
      <c r="E558" s="95" t="s">
        <v>558</v>
      </c>
      <c r="F558" s="95"/>
      <c r="G558" s="108">
        <f>G559</f>
        <v>151.94999999999999</v>
      </c>
      <c r="H558" s="108">
        <f>H559</f>
        <v>0</v>
      </c>
    </row>
    <row r="559" spans="1:8" ht="31.5">
      <c r="A559" s="152" t="s">
        <v>267</v>
      </c>
      <c r="B559" s="96" t="s">
        <v>612</v>
      </c>
      <c r="C559" s="96" t="s">
        <v>219</v>
      </c>
      <c r="D559" s="96" t="s">
        <v>217</v>
      </c>
      <c r="E559" s="96" t="s">
        <v>558</v>
      </c>
      <c r="F559" s="96" t="s">
        <v>401</v>
      </c>
      <c r="G559" s="109">
        <v>151.94999999999999</v>
      </c>
      <c r="H559" s="109">
        <v>0</v>
      </c>
    </row>
    <row r="560" spans="1:8">
      <c r="A560" s="152" t="s">
        <v>1064</v>
      </c>
      <c r="B560" s="96" t="s">
        <v>612</v>
      </c>
      <c r="C560" s="96" t="s">
        <v>219</v>
      </c>
      <c r="D560" s="96" t="s">
        <v>217</v>
      </c>
      <c r="E560" s="96" t="s">
        <v>1067</v>
      </c>
      <c r="F560" s="96"/>
      <c r="G560" s="109">
        <f>G561</f>
        <v>3536.9</v>
      </c>
      <c r="H560" s="109">
        <f>H561</f>
        <v>3536.9</v>
      </c>
    </row>
    <row r="561" spans="1:8" ht="31.5">
      <c r="A561" s="152" t="s">
        <v>267</v>
      </c>
      <c r="B561" s="96" t="s">
        <v>612</v>
      </c>
      <c r="C561" s="96" t="s">
        <v>219</v>
      </c>
      <c r="D561" s="96" t="s">
        <v>217</v>
      </c>
      <c r="E561" s="96" t="s">
        <v>1067</v>
      </c>
      <c r="F561" s="96" t="s">
        <v>401</v>
      </c>
      <c r="G561" s="109">
        <v>3536.9</v>
      </c>
      <c r="H561" s="109">
        <f>G561</f>
        <v>3536.9</v>
      </c>
    </row>
    <row r="562" spans="1:8" ht="31.5">
      <c r="A562" s="152" t="s">
        <v>1066</v>
      </c>
      <c r="B562" s="96" t="s">
        <v>612</v>
      </c>
      <c r="C562" s="96" t="s">
        <v>219</v>
      </c>
      <c r="D562" s="96" t="s">
        <v>217</v>
      </c>
      <c r="E562" s="96" t="s">
        <v>1067</v>
      </c>
      <c r="F562" s="96"/>
      <c r="G562" s="109">
        <f>G563</f>
        <v>10.642429999999999</v>
      </c>
      <c r="H562" s="109">
        <v>0</v>
      </c>
    </row>
    <row r="563" spans="1:8" ht="31.5">
      <c r="A563" s="152" t="s">
        <v>267</v>
      </c>
      <c r="B563" s="96" t="s">
        <v>612</v>
      </c>
      <c r="C563" s="96" t="s">
        <v>219</v>
      </c>
      <c r="D563" s="96" t="s">
        <v>217</v>
      </c>
      <c r="E563" s="96" t="s">
        <v>1067</v>
      </c>
      <c r="F563" s="96" t="s">
        <v>401</v>
      </c>
      <c r="G563" s="109">
        <v>10.642429999999999</v>
      </c>
      <c r="H563" s="109">
        <v>0</v>
      </c>
    </row>
    <row r="564" spans="1:8">
      <c r="A564" s="80" t="s">
        <v>265</v>
      </c>
      <c r="B564" s="103" t="s">
        <v>612</v>
      </c>
      <c r="C564" s="103" t="s">
        <v>220</v>
      </c>
      <c r="D564" s="103"/>
      <c r="E564" s="96"/>
      <c r="F564" s="96"/>
      <c r="G564" s="109">
        <f>G565+G572</f>
        <v>34548.924789999997</v>
      </c>
      <c r="H564" s="109">
        <f>H565+H572</f>
        <v>31589</v>
      </c>
    </row>
    <row r="565" spans="1:8">
      <c r="A565" s="80" t="s">
        <v>575</v>
      </c>
      <c r="B565" s="96" t="s">
        <v>612</v>
      </c>
      <c r="C565" s="103" t="s">
        <v>220</v>
      </c>
      <c r="D565" s="103" t="s">
        <v>211</v>
      </c>
      <c r="E565" s="96"/>
      <c r="F565" s="96"/>
      <c r="G565" s="109">
        <f t="shared" ref="G565:H566" si="37">G566</f>
        <v>11098.88889</v>
      </c>
      <c r="H565" s="109">
        <f t="shared" si="37"/>
        <v>9989</v>
      </c>
    </row>
    <row r="566" spans="1:8" ht="31.5">
      <c r="A566" s="416" t="s">
        <v>1211</v>
      </c>
      <c r="B566" s="184" t="s">
        <v>612</v>
      </c>
      <c r="C566" s="184" t="s">
        <v>220</v>
      </c>
      <c r="D566" s="184" t="s">
        <v>211</v>
      </c>
      <c r="E566" s="191" t="s">
        <v>727</v>
      </c>
      <c r="F566" s="184"/>
      <c r="G566" s="193">
        <f t="shared" si="37"/>
        <v>11098.88889</v>
      </c>
      <c r="H566" s="193">
        <f t="shared" si="37"/>
        <v>9989</v>
      </c>
    </row>
    <row r="567" spans="1:8" ht="60.75" customHeight="1">
      <c r="A567" s="208" t="s">
        <v>862</v>
      </c>
      <c r="B567" s="204" t="s">
        <v>612</v>
      </c>
      <c r="C567" s="204" t="s">
        <v>220</v>
      </c>
      <c r="D567" s="204" t="s">
        <v>211</v>
      </c>
      <c r="E567" s="341" t="s">
        <v>727</v>
      </c>
      <c r="F567" s="204"/>
      <c r="G567" s="199">
        <f>G568+G570</f>
        <v>11098.88889</v>
      </c>
      <c r="H567" s="199">
        <f>H568+H570</f>
        <v>9989</v>
      </c>
    </row>
    <row r="568" spans="1:8" ht="63">
      <c r="A568" s="76" t="s">
        <v>733</v>
      </c>
      <c r="B568" s="96" t="s">
        <v>612</v>
      </c>
      <c r="C568" s="96" t="s">
        <v>220</v>
      </c>
      <c r="D568" s="96" t="s">
        <v>211</v>
      </c>
      <c r="E568" s="96" t="s">
        <v>753</v>
      </c>
      <c r="F568" s="96"/>
      <c r="G568" s="109">
        <f>G569</f>
        <v>9989</v>
      </c>
      <c r="H568" s="109">
        <f>H569</f>
        <v>9989</v>
      </c>
    </row>
    <row r="569" spans="1:8" ht="31.5">
      <c r="A569" s="152" t="s">
        <v>267</v>
      </c>
      <c r="B569" s="96" t="s">
        <v>612</v>
      </c>
      <c r="C569" s="96" t="s">
        <v>220</v>
      </c>
      <c r="D569" s="96" t="s">
        <v>211</v>
      </c>
      <c r="E569" s="96" t="s">
        <v>753</v>
      </c>
      <c r="F569" s="96" t="s">
        <v>401</v>
      </c>
      <c r="G569" s="109">
        <v>9989</v>
      </c>
      <c r="H569" s="109">
        <f>G569</f>
        <v>9989</v>
      </c>
    </row>
    <row r="570" spans="1:8" ht="78.75">
      <c r="A570" s="152" t="s">
        <v>574</v>
      </c>
      <c r="B570" s="96" t="s">
        <v>612</v>
      </c>
      <c r="C570" s="96" t="s">
        <v>220</v>
      </c>
      <c r="D570" s="96" t="s">
        <v>211</v>
      </c>
      <c r="E570" s="96" t="s">
        <v>753</v>
      </c>
      <c r="F570" s="96"/>
      <c r="G570" s="109">
        <f>G571</f>
        <v>1109.8888899999999</v>
      </c>
      <c r="H570" s="109">
        <f>H571</f>
        <v>0</v>
      </c>
    </row>
    <row r="571" spans="1:8" ht="31.5">
      <c r="A571" s="152" t="s">
        <v>267</v>
      </c>
      <c r="B571" s="96" t="s">
        <v>612</v>
      </c>
      <c r="C571" s="96" t="s">
        <v>220</v>
      </c>
      <c r="D571" s="96" t="s">
        <v>211</v>
      </c>
      <c r="E571" s="96" t="s">
        <v>753</v>
      </c>
      <c r="F571" s="96" t="s">
        <v>401</v>
      </c>
      <c r="G571" s="109">
        <v>1109.8888899999999</v>
      </c>
      <c r="H571" s="109">
        <v>0</v>
      </c>
    </row>
    <row r="572" spans="1:8">
      <c r="A572" s="334" t="s">
        <v>49</v>
      </c>
      <c r="B572" s="336" t="s">
        <v>612</v>
      </c>
      <c r="C572" s="103" t="s">
        <v>220</v>
      </c>
      <c r="D572" s="103" t="s">
        <v>220</v>
      </c>
      <c r="E572" s="336"/>
      <c r="F572" s="336"/>
      <c r="G572" s="104">
        <f>G573+G580+G587</f>
        <v>23450.035899999999</v>
      </c>
      <c r="H572" s="104">
        <f>H573+H580+H587</f>
        <v>21600</v>
      </c>
    </row>
    <row r="573" spans="1:8" ht="61.5" customHeight="1">
      <c r="A573" s="625" t="s">
        <v>1236</v>
      </c>
      <c r="B573" s="184" t="s">
        <v>612</v>
      </c>
      <c r="C573" s="184" t="s">
        <v>220</v>
      </c>
      <c r="D573" s="184" t="s">
        <v>220</v>
      </c>
      <c r="E573" s="634" t="s">
        <v>1240</v>
      </c>
      <c r="F573" s="184"/>
      <c r="G573" s="193">
        <f t="shared" ref="G573:H575" si="38">G574</f>
        <v>1136.70785</v>
      </c>
      <c r="H573" s="193">
        <f t="shared" si="38"/>
        <v>0</v>
      </c>
    </row>
    <row r="574" spans="1:8" ht="33" customHeight="1">
      <c r="A574" s="829" t="s">
        <v>1248</v>
      </c>
      <c r="B574" s="832" t="s">
        <v>612</v>
      </c>
      <c r="C574" s="832" t="s">
        <v>220</v>
      </c>
      <c r="D574" s="832" t="s">
        <v>220</v>
      </c>
      <c r="E574" s="827" t="s">
        <v>1241</v>
      </c>
      <c r="F574" s="832"/>
      <c r="G574" s="833">
        <f t="shared" si="38"/>
        <v>1136.70785</v>
      </c>
      <c r="H574" s="833">
        <f t="shared" si="38"/>
        <v>0</v>
      </c>
    </row>
    <row r="575" spans="1:8" ht="33" customHeight="1">
      <c r="A575" s="829" t="s">
        <v>1237</v>
      </c>
      <c r="B575" s="832" t="s">
        <v>612</v>
      </c>
      <c r="C575" s="832" t="s">
        <v>220</v>
      </c>
      <c r="D575" s="832" t="s">
        <v>220</v>
      </c>
      <c r="E575" s="827" t="s">
        <v>1242</v>
      </c>
      <c r="F575" s="832"/>
      <c r="G575" s="833">
        <f t="shared" si="38"/>
        <v>1136.70785</v>
      </c>
      <c r="H575" s="833">
        <f t="shared" si="38"/>
        <v>0</v>
      </c>
    </row>
    <row r="576" spans="1:8">
      <c r="A576" s="74" t="s">
        <v>1207</v>
      </c>
      <c r="B576" s="149" t="s">
        <v>612</v>
      </c>
      <c r="C576" s="96" t="s">
        <v>220</v>
      </c>
      <c r="D576" s="96" t="s">
        <v>220</v>
      </c>
      <c r="E576" s="96" t="s">
        <v>1243</v>
      </c>
      <c r="F576" s="95"/>
      <c r="G576" s="109">
        <f>G577+G578+G579</f>
        <v>1136.70785</v>
      </c>
      <c r="H576" s="109">
        <f>H577+H579</f>
        <v>0</v>
      </c>
    </row>
    <row r="577" spans="1:8" ht="31.5">
      <c r="A577" s="76" t="s">
        <v>155</v>
      </c>
      <c r="B577" s="149" t="s">
        <v>612</v>
      </c>
      <c r="C577" s="96" t="s">
        <v>220</v>
      </c>
      <c r="D577" s="96" t="s">
        <v>220</v>
      </c>
      <c r="E577" s="96" t="s">
        <v>1243</v>
      </c>
      <c r="F577" s="96" t="s">
        <v>400</v>
      </c>
      <c r="G577" s="109">
        <v>873.04750000000001</v>
      </c>
      <c r="H577" s="109">
        <v>0</v>
      </c>
    </row>
    <row r="578" spans="1:8" ht="31.5" hidden="1">
      <c r="A578" s="76" t="s">
        <v>10</v>
      </c>
      <c r="B578" s="149" t="s">
        <v>612</v>
      </c>
      <c r="C578" s="96" t="s">
        <v>220</v>
      </c>
      <c r="D578" s="96" t="s">
        <v>220</v>
      </c>
      <c r="E578" s="96" t="s">
        <v>1243</v>
      </c>
      <c r="F578" s="96" t="s">
        <v>405</v>
      </c>
      <c r="G578" s="109"/>
      <c r="H578" s="109"/>
    </row>
    <row r="579" spans="1:8" ht="47.25">
      <c r="A579" s="195" t="s">
        <v>416</v>
      </c>
      <c r="B579" s="149" t="s">
        <v>612</v>
      </c>
      <c r="C579" s="96" t="s">
        <v>220</v>
      </c>
      <c r="D579" s="96" t="s">
        <v>220</v>
      </c>
      <c r="E579" s="96" t="s">
        <v>1243</v>
      </c>
      <c r="F579" s="96" t="s">
        <v>417</v>
      </c>
      <c r="G579" s="109">
        <v>263.66034999999999</v>
      </c>
      <c r="H579" s="109">
        <v>0</v>
      </c>
    </row>
    <row r="580" spans="1:8" ht="47.25">
      <c r="A580" s="614" t="s">
        <v>1231</v>
      </c>
      <c r="B580" s="634" t="s">
        <v>612</v>
      </c>
      <c r="C580" s="634" t="s">
        <v>220</v>
      </c>
      <c r="D580" s="634" t="s">
        <v>220</v>
      </c>
      <c r="E580" s="634" t="s">
        <v>551</v>
      </c>
      <c r="F580" s="634"/>
      <c r="G580" s="460">
        <f>G581</f>
        <v>713.32804999999996</v>
      </c>
      <c r="H580" s="460">
        <f>H581</f>
        <v>0</v>
      </c>
    </row>
    <row r="581" spans="1:8" ht="47.25">
      <c r="A581" s="834" t="s">
        <v>863</v>
      </c>
      <c r="B581" s="835" t="s">
        <v>612</v>
      </c>
      <c r="C581" s="835" t="s">
        <v>220</v>
      </c>
      <c r="D581" s="835" t="s">
        <v>220</v>
      </c>
      <c r="E581" s="835" t="s">
        <v>551</v>
      </c>
      <c r="F581" s="835"/>
      <c r="G581" s="836">
        <f>G582</f>
        <v>713.32804999999996</v>
      </c>
      <c r="H581" s="836">
        <f>H582</f>
        <v>0</v>
      </c>
    </row>
    <row r="582" spans="1:8" ht="47.25">
      <c r="A582" s="172" t="s">
        <v>420</v>
      </c>
      <c r="B582" s="149" t="s">
        <v>612</v>
      </c>
      <c r="C582" s="96" t="s">
        <v>220</v>
      </c>
      <c r="D582" s="96" t="s">
        <v>220</v>
      </c>
      <c r="E582" s="149" t="s">
        <v>1215</v>
      </c>
      <c r="F582" s="149"/>
      <c r="G582" s="109">
        <f>G583+G584+G585+G586</f>
        <v>713.32804999999996</v>
      </c>
      <c r="H582" s="109">
        <f>H583+H584+H585+H586</f>
        <v>0</v>
      </c>
    </row>
    <row r="583" spans="1:8" ht="31.5">
      <c r="A583" s="152" t="s">
        <v>267</v>
      </c>
      <c r="B583" s="149" t="s">
        <v>612</v>
      </c>
      <c r="C583" s="96" t="s">
        <v>220</v>
      </c>
      <c r="D583" s="96" t="s">
        <v>220</v>
      </c>
      <c r="E583" s="149" t="s">
        <v>1215</v>
      </c>
      <c r="F583" s="149" t="s">
        <v>401</v>
      </c>
      <c r="G583" s="109">
        <f>244.698+16.03426</f>
        <v>260.73226</v>
      </c>
      <c r="H583" s="109">
        <v>0</v>
      </c>
    </row>
    <row r="584" spans="1:8">
      <c r="A584" s="3" t="s">
        <v>1026</v>
      </c>
      <c r="B584" s="149" t="s">
        <v>612</v>
      </c>
      <c r="C584" s="96" t="s">
        <v>220</v>
      </c>
      <c r="D584" s="96" t="s">
        <v>220</v>
      </c>
      <c r="E584" s="149" t="s">
        <v>1215</v>
      </c>
      <c r="F584" s="149" t="s">
        <v>1025</v>
      </c>
      <c r="G584" s="109">
        <f>280.49879</f>
        <v>280.49878999999999</v>
      </c>
      <c r="H584" s="109">
        <v>0</v>
      </c>
    </row>
    <row r="585" spans="1:8" ht="22.5" customHeight="1">
      <c r="A585" s="76" t="s">
        <v>403</v>
      </c>
      <c r="B585" s="98">
        <v>937</v>
      </c>
      <c r="C585" s="96" t="s">
        <v>220</v>
      </c>
      <c r="D585" s="96" t="s">
        <v>220</v>
      </c>
      <c r="E585" s="96" t="s">
        <v>1216</v>
      </c>
      <c r="F585" s="423">
        <v>851</v>
      </c>
      <c r="G585" s="109">
        <v>5.43</v>
      </c>
      <c r="H585" s="109">
        <v>0</v>
      </c>
    </row>
    <row r="586" spans="1:8" ht="35.25" customHeight="1">
      <c r="A586" s="76" t="s">
        <v>268</v>
      </c>
      <c r="B586" s="98">
        <v>937</v>
      </c>
      <c r="C586" s="96" t="s">
        <v>220</v>
      </c>
      <c r="D586" s="96" t="s">
        <v>220</v>
      </c>
      <c r="E586" s="96" t="s">
        <v>1230</v>
      </c>
      <c r="F586" s="423">
        <v>852</v>
      </c>
      <c r="G586" s="109">
        <v>166.667</v>
      </c>
      <c r="H586" s="109">
        <v>0</v>
      </c>
    </row>
    <row r="587" spans="1:8" ht="35.25" customHeight="1">
      <c r="A587" s="625" t="s">
        <v>1211</v>
      </c>
      <c r="B587" s="634" t="s">
        <v>612</v>
      </c>
      <c r="C587" s="634" t="s">
        <v>220</v>
      </c>
      <c r="D587" s="634" t="s">
        <v>220</v>
      </c>
      <c r="E587" s="859" t="s">
        <v>727</v>
      </c>
      <c r="F587" s="862"/>
      <c r="G587" s="460">
        <f t="shared" ref="G587:H589" si="39">G588</f>
        <v>21600</v>
      </c>
      <c r="H587" s="460">
        <f t="shared" si="39"/>
        <v>21600</v>
      </c>
    </row>
    <row r="588" spans="1:8" ht="35.25" customHeight="1">
      <c r="A588" s="208" t="s">
        <v>862</v>
      </c>
      <c r="B588" s="204" t="s">
        <v>612</v>
      </c>
      <c r="C588" s="204" t="s">
        <v>220</v>
      </c>
      <c r="D588" s="204" t="s">
        <v>220</v>
      </c>
      <c r="E588" s="341" t="s">
        <v>727</v>
      </c>
      <c r="F588" s="423"/>
      <c r="G588" s="109">
        <f t="shared" si="39"/>
        <v>21600</v>
      </c>
      <c r="H588" s="109">
        <f t="shared" si="39"/>
        <v>21600</v>
      </c>
    </row>
    <row r="589" spans="1:8" ht="35.25" customHeight="1">
      <c r="A589" s="76" t="s">
        <v>1014</v>
      </c>
      <c r="B589" s="98">
        <v>937</v>
      </c>
      <c r="C589" s="96" t="s">
        <v>220</v>
      </c>
      <c r="D589" s="96" t="s">
        <v>220</v>
      </c>
      <c r="E589" s="96" t="s">
        <v>709</v>
      </c>
      <c r="F589" s="423"/>
      <c r="G589" s="109">
        <f t="shared" si="39"/>
        <v>21600</v>
      </c>
      <c r="H589" s="109">
        <f t="shared" si="39"/>
        <v>21600</v>
      </c>
    </row>
    <row r="590" spans="1:8" ht="40.5" customHeight="1">
      <c r="A590" s="152" t="s">
        <v>713</v>
      </c>
      <c r="B590" s="98">
        <v>937</v>
      </c>
      <c r="C590" s="96" t="s">
        <v>220</v>
      </c>
      <c r="D590" s="96" t="s">
        <v>220</v>
      </c>
      <c r="E590" s="96" t="s">
        <v>709</v>
      </c>
      <c r="F590" s="423">
        <v>414</v>
      </c>
      <c r="G590" s="109">
        <v>21600</v>
      </c>
      <c r="H590" s="109">
        <f>G590</f>
        <v>21600</v>
      </c>
    </row>
    <row r="591" spans="1:8" ht="27.75" customHeight="1">
      <c r="A591" s="80" t="s">
        <v>396</v>
      </c>
      <c r="B591" s="103" t="s">
        <v>612</v>
      </c>
      <c r="C591" s="103" t="s">
        <v>212</v>
      </c>
      <c r="D591" s="103"/>
      <c r="E591" s="103"/>
      <c r="F591" s="423"/>
      <c r="G591" s="109">
        <f t="shared" ref="G591:H595" si="40">G592</f>
        <v>151377.70000000001</v>
      </c>
      <c r="H591" s="109">
        <f t="shared" si="40"/>
        <v>151377.70000000001</v>
      </c>
    </row>
    <row r="592" spans="1:8" ht="23.25" customHeight="1">
      <c r="A592" s="80" t="s">
        <v>345</v>
      </c>
      <c r="B592" s="103" t="s">
        <v>612</v>
      </c>
      <c r="C592" s="103" t="s">
        <v>212</v>
      </c>
      <c r="D592" s="103" t="s">
        <v>210</v>
      </c>
      <c r="E592" s="103"/>
      <c r="F592" s="423"/>
      <c r="G592" s="109">
        <f>G595</f>
        <v>151377.70000000001</v>
      </c>
      <c r="H592" s="109">
        <f>H595</f>
        <v>151377.70000000001</v>
      </c>
    </row>
    <row r="593" spans="1:9" ht="40.5" customHeight="1">
      <c r="A593" s="625" t="s">
        <v>1211</v>
      </c>
      <c r="B593" s="634" t="s">
        <v>612</v>
      </c>
      <c r="C593" s="634" t="s">
        <v>212</v>
      </c>
      <c r="D593" s="634" t="s">
        <v>210</v>
      </c>
      <c r="E593" s="859" t="s">
        <v>727</v>
      </c>
      <c r="F593" s="862"/>
      <c r="G593" s="460">
        <f>G594</f>
        <v>151377.70000000001</v>
      </c>
      <c r="H593" s="460">
        <f>H594</f>
        <v>151377.70000000001</v>
      </c>
    </row>
    <row r="594" spans="1:9" ht="60" customHeight="1">
      <c r="A594" s="208" t="s">
        <v>862</v>
      </c>
      <c r="B594" s="204" t="s">
        <v>612</v>
      </c>
      <c r="C594" s="204" t="s">
        <v>212</v>
      </c>
      <c r="D594" s="204" t="s">
        <v>210</v>
      </c>
      <c r="E594" s="341" t="s">
        <v>727</v>
      </c>
      <c r="F594" s="423"/>
      <c r="G594" s="109">
        <f>G595</f>
        <v>151377.70000000001</v>
      </c>
      <c r="H594" s="109">
        <f>H595</f>
        <v>151377.70000000001</v>
      </c>
    </row>
    <row r="595" spans="1:9" ht="62.25" customHeight="1">
      <c r="A595" s="76" t="s">
        <v>764</v>
      </c>
      <c r="B595" s="96" t="s">
        <v>612</v>
      </c>
      <c r="C595" s="96" t="s">
        <v>212</v>
      </c>
      <c r="D595" s="96" t="s">
        <v>210</v>
      </c>
      <c r="E595" s="149" t="s">
        <v>769</v>
      </c>
      <c r="F595" s="96"/>
      <c r="G595" s="109">
        <f t="shared" si="40"/>
        <v>151377.70000000001</v>
      </c>
      <c r="H595" s="109">
        <f t="shared" si="40"/>
        <v>151377.70000000001</v>
      </c>
    </row>
    <row r="596" spans="1:9" ht="40.5" customHeight="1">
      <c r="A596" s="152" t="s">
        <v>713</v>
      </c>
      <c r="B596" s="96" t="s">
        <v>612</v>
      </c>
      <c r="C596" s="96" t="s">
        <v>212</v>
      </c>
      <c r="D596" s="96" t="s">
        <v>210</v>
      </c>
      <c r="E596" s="149" t="s">
        <v>769</v>
      </c>
      <c r="F596" s="96" t="s">
        <v>100</v>
      </c>
      <c r="G596" s="109">
        <v>151377.70000000001</v>
      </c>
      <c r="H596" s="109">
        <f>G596</f>
        <v>151377.70000000001</v>
      </c>
    </row>
    <row r="597" spans="1:9" s="90" customFormat="1">
      <c r="A597" s="126" t="s">
        <v>115</v>
      </c>
      <c r="B597" s="96"/>
      <c r="C597" s="96"/>
      <c r="D597" s="96"/>
      <c r="E597" s="96"/>
      <c r="F597" s="102"/>
      <c r="G597" s="104">
        <f>G13+G39+G69+G335+G536</f>
        <v>1195974.9000000004</v>
      </c>
      <c r="H597" s="104">
        <f>H13+H39+H69+H335+H536</f>
        <v>853951.90000000014</v>
      </c>
      <c r="I597" s="146">
        <f>G597-H597</f>
        <v>342023.00000000023</v>
      </c>
    </row>
    <row r="598" spans="1:9">
      <c r="A598" s="127"/>
    </row>
    <row r="599" spans="1:9">
      <c r="A599" s="127"/>
      <c r="E599" s="85"/>
      <c r="G599" s="85">
        <f>пр.4!D11+'пр.6 '!D11</f>
        <v>1196649.9000000001</v>
      </c>
      <c r="H599" s="385">
        <f>'пр.6 '!D16+'пр.6 '!D54+'пр.6 '!D82-'пр.6 '!D83+'пр.6 '!D112</f>
        <v>853951.90000000026</v>
      </c>
    </row>
    <row r="600" spans="1:9">
      <c r="A600" s="127"/>
      <c r="E600" s="83"/>
      <c r="G600" s="85">
        <f>G599-G597</f>
        <v>674.99999999976717</v>
      </c>
      <c r="H600" s="385">
        <f>H597-H599</f>
        <v>0</v>
      </c>
      <c r="I600" s="85"/>
    </row>
    <row r="601" spans="1:9">
      <c r="A601" s="511"/>
      <c r="B601" s="512"/>
      <c r="C601" s="512"/>
      <c r="D601" s="512"/>
      <c r="E601" s="527"/>
      <c r="F601" s="512"/>
      <c r="G601" s="513"/>
      <c r="H601" s="514"/>
    </row>
    <row r="602" spans="1:9">
      <c r="A602" s="515"/>
      <c r="B602" s="516"/>
      <c r="C602" s="516"/>
      <c r="D602" s="517"/>
      <c r="E602" s="248"/>
      <c r="F602" s="516"/>
      <c r="G602" s="518">
        <f>пр.4!D11+'пр.6 '!D13+'пр.6 '!D83</f>
        <v>342698</v>
      </c>
      <c r="H602" s="514"/>
    </row>
    <row r="603" spans="1:9">
      <c r="A603" s="515"/>
      <c r="B603" s="516"/>
      <c r="C603" s="516"/>
      <c r="D603" s="517"/>
      <c r="E603" s="248"/>
      <c r="F603" s="516"/>
      <c r="G603" s="518">
        <f>G602+H597</f>
        <v>1196649.9000000001</v>
      </c>
      <c r="H603" s="514"/>
    </row>
    <row r="604" spans="1:9" hidden="1">
      <c r="A604" s="505"/>
      <c r="B604" s="506"/>
      <c r="C604" s="506"/>
      <c r="D604" s="506"/>
      <c r="E604" s="507"/>
      <c r="F604" s="508"/>
      <c r="G604" s="509"/>
      <c r="H604" s="510"/>
    </row>
    <row r="605" spans="1:9">
      <c r="E605" s="83"/>
      <c r="G605" s="85">
        <v>675</v>
      </c>
      <c r="H605" s="85"/>
    </row>
    <row r="606" spans="1:9">
      <c r="G606" s="85">
        <f>G603-G605</f>
        <v>1195974.9000000001</v>
      </c>
    </row>
  </sheetData>
  <sheetProtection selectLockedCells="1"/>
  <autoFilter ref="A12:H603"/>
  <mergeCells count="8">
    <mergeCell ref="A9:G10"/>
    <mergeCell ref="D1:G1"/>
    <mergeCell ref="B2:G2"/>
    <mergeCell ref="C3:G3"/>
    <mergeCell ref="C4:G4"/>
    <mergeCell ref="C5:G5"/>
    <mergeCell ref="C6:G6"/>
    <mergeCell ref="C7:G7"/>
  </mergeCells>
  <phoneticPr fontId="16" type="noConversion"/>
  <hyperlinks>
    <hyperlink ref="A63" r:id="rId1" tooltip="Муниципальные образования" display="http://www.pandia.ru/text/category/munitcipalmznie_obrazovaniya/"/>
  </hyperlinks>
  <pageMargins left="0.70866141732283472" right="0.55118110236220474" top="0" bottom="0" header="0.23622047244094491" footer="0.31496062992125984"/>
  <pageSetup paperSize="9" scale="60" fitToWidth="14" fitToHeight="14" orientation="portrait" r:id="rId2"/>
  <rowBreaks count="4" manualBreakCount="4">
    <brk id="199" max="6" man="1"/>
    <brk id="304" max="6" man="1"/>
    <brk id="383" max="6" man="1"/>
    <brk id="557" max="6" man="1"/>
  </rowBreaks>
  <legacyDrawing r:id="rId3"/>
</worksheet>
</file>

<file path=xl/worksheets/sheet11.xml><?xml version="1.0" encoding="utf-8"?>
<worksheet xmlns="http://schemas.openxmlformats.org/spreadsheetml/2006/main" xmlns:r="http://schemas.openxmlformats.org/officeDocument/2006/relationships">
  <sheetPr>
    <tabColor rgb="FF92D050"/>
  </sheetPr>
  <dimension ref="A1:R490"/>
  <sheetViews>
    <sheetView view="pageBreakPreview" zoomScale="82" zoomScaleSheetLayoutView="82" workbookViewId="0">
      <selection activeCell="O478" sqref="O478"/>
    </sheetView>
  </sheetViews>
  <sheetFormatPr defaultRowHeight="15.75"/>
  <cols>
    <col min="1" max="1" width="72.5703125" style="124" customWidth="1"/>
    <col min="2" max="2" width="10.7109375" style="70" customWidth="1"/>
    <col min="3" max="3" width="7.85546875" style="70" customWidth="1"/>
    <col min="4" max="4" width="9" style="70" customWidth="1"/>
    <col min="5" max="5" width="16.5703125" style="118" customWidth="1"/>
    <col min="6" max="6" width="10" style="84" customWidth="1"/>
    <col min="7" max="7" width="18.28515625" style="85" customWidth="1"/>
    <col min="8" max="8" width="19.140625" style="85" customWidth="1"/>
    <col min="9" max="9" width="21.42578125" style="468" bestFit="1" customWidth="1"/>
    <col min="10" max="10" width="20.85546875" style="70" customWidth="1"/>
    <col min="11" max="11" width="15" style="70" customWidth="1"/>
    <col min="12" max="12" width="15" style="70" bestFit="1" customWidth="1"/>
    <col min="13" max="16384" width="9.140625" style="70"/>
  </cols>
  <sheetData>
    <row r="1" spans="1:10">
      <c r="D1" s="375"/>
      <c r="E1" s="993" t="s">
        <v>142</v>
      </c>
      <c r="F1" s="993"/>
      <c r="G1" s="993"/>
      <c r="H1" s="993"/>
    </row>
    <row r="2" spans="1:10">
      <c r="D2" s="375"/>
      <c r="E2" s="993" t="s">
        <v>199</v>
      </c>
      <c r="F2" s="993"/>
      <c r="G2" s="993"/>
      <c r="H2" s="993"/>
    </row>
    <row r="3" spans="1:10">
      <c r="E3" s="375"/>
      <c r="F3" s="993" t="s">
        <v>298</v>
      </c>
      <c r="G3" s="993"/>
      <c r="H3" s="993"/>
    </row>
    <row r="4" spans="1:10">
      <c r="D4" s="375"/>
      <c r="E4" s="375"/>
      <c r="F4" s="993" t="s">
        <v>148</v>
      </c>
      <c r="G4" s="993"/>
      <c r="H4" s="993"/>
    </row>
    <row r="5" spans="1:10">
      <c r="E5" s="375"/>
      <c r="F5" s="993" t="s">
        <v>299</v>
      </c>
      <c r="G5" s="993"/>
      <c r="H5" s="993"/>
    </row>
    <row r="6" spans="1:10">
      <c r="E6" s="993" t="s">
        <v>1174</v>
      </c>
      <c r="F6" s="993"/>
      <c r="G6" s="993"/>
      <c r="H6" s="993"/>
    </row>
    <row r="7" spans="1:10" ht="15.75" customHeight="1">
      <c r="D7" s="72"/>
      <c r="E7" s="993" t="s">
        <v>1175</v>
      </c>
      <c r="F7" s="993"/>
      <c r="G7" s="993"/>
      <c r="H7" s="993"/>
    </row>
    <row r="8" spans="1:10">
      <c r="G8" s="85" t="s">
        <v>117</v>
      </c>
    </row>
    <row r="9" spans="1:10" ht="15.75" customHeight="1">
      <c r="A9" s="989" t="s">
        <v>925</v>
      </c>
      <c r="B9" s="989"/>
      <c r="C9" s="989"/>
      <c r="D9" s="989"/>
      <c r="E9" s="989"/>
      <c r="F9" s="989"/>
      <c r="G9" s="989"/>
      <c r="H9" s="339"/>
    </row>
    <row r="10" spans="1:10">
      <c r="A10" s="989"/>
      <c r="B10" s="989"/>
      <c r="C10" s="989"/>
      <c r="D10" s="989"/>
      <c r="E10" s="989"/>
      <c r="F10" s="989"/>
      <c r="G10" s="989"/>
      <c r="H10" s="339"/>
    </row>
    <row r="11" spans="1:10">
      <c r="B11" s="86"/>
      <c r="C11" s="86"/>
      <c r="D11" s="86"/>
      <c r="E11" s="119"/>
      <c r="F11" s="87"/>
      <c r="G11" s="600" t="s">
        <v>150</v>
      </c>
      <c r="H11" s="545" t="s">
        <v>150</v>
      </c>
    </row>
    <row r="12" spans="1:10" s="90" customFormat="1" ht="31.5">
      <c r="A12" s="93" t="s">
        <v>204</v>
      </c>
      <c r="B12" s="93" t="s">
        <v>297</v>
      </c>
      <c r="C12" s="93" t="s">
        <v>205</v>
      </c>
      <c r="D12" s="93" t="s">
        <v>206</v>
      </c>
      <c r="E12" s="116" t="s">
        <v>207</v>
      </c>
      <c r="F12" s="93" t="s">
        <v>208</v>
      </c>
      <c r="G12" s="89" t="s">
        <v>926</v>
      </c>
      <c r="H12" s="365" t="s">
        <v>1173</v>
      </c>
      <c r="I12" s="469"/>
    </row>
    <row r="13" spans="1:10" s="90" customFormat="1">
      <c r="A13" s="123" t="s">
        <v>192</v>
      </c>
      <c r="B13" s="99">
        <v>930</v>
      </c>
      <c r="C13" s="100"/>
      <c r="D13" s="100"/>
      <c r="E13" s="100"/>
      <c r="F13" s="100"/>
      <c r="G13" s="101">
        <f>G14</f>
        <v>5007.2389999999996</v>
      </c>
      <c r="H13" s="101">
        <f>H14</f>
        <v>5007.2389999999996</v>
      </c>
      <c r="I13" s="469"/>
    </row>
    <row r="14" spans="1:10" s="90" customFormat="1">
      <c r="A14" s="80" t="s">
        <v>224</v>
      </c>
      <c r="B14" s="102">
        <v>930</v>
      </c>
      <c r="C14" s="103" t="s">
        <v>210</v>
      </c>
      <c r="D14" s="103"/>
      <c r="E14" s="103"/>
      <c r="F14" s="103"/>
      <c r="G14" s="104">
        <f>G15+G27</f>
        <v>5007.2389999999996</v>
      </c>
      <c r="H14" s="104">
        <f>H15+H27</f>
        <v>5007.2389999999996</v>
      </c>
      <c r="I14" s="469"/>
      <c r="J14" s="146"/>
    </row>
    <row r="15" spans="1:10" s="90" customFormat="1" ht="47.25">
      <c r="A15" s="79" t="s">
        <v>343</v>
      </c>
      <c r="B15" s="105">
        <v>930</v>
      </c>
      <c r="C15" s="106" t="s">
        <v>210</v>
      </c>
      <c r="D15" s="106" t="s">
        <v>213</v>
      </c>
      <c r="E15" s="106"/>
      <c r="F15" s="106"/>
      <c r="G15" s="107">
        <f>G18+G22+G25</f>
        <v>2622.7429999999999</v>
      </c>
      <c r="H15" s="107">
        <f>H18+H22+H25</f>
        <v>2622.7429999999999</v>
      </c>
      <c r="I15" s="469"/>
    </row>
    <row r="16" spans="1:10" s="90" customFormat="1" ht="47.25">
      <c r="A16" s="625" t="s">
        <v>1236</v>
      </c>
      <c r="B16" s="859">
        <v>930</v>
      </c>
      <c r="C16" s="634" t="s">
        <v>210</v>
      </c>
      <c r="D16" s="634" t="s">
        <v>213</v>
      </c>
      <c r="E16" s="634" t="s">
        <v>1249</v>
      </c>
      <c r="F16" s="634"/>
      <c r="G16" s="460">
        <f t="shared" ref="G16:H16" si="0">G17</f>
        <v>2622.7429999999999</v>
      </c>
      <c r="H16" s="460">
        <f t="shared" si="0"/>
        <v>2622.7429999999999</v>
      </c>
      <c r="I16" s="535">
        <f>G16+G24</f>
        <v>3028.1329999999998</v>
      </c>
    </row>
    <row r="17" spans="1:11" s="90" customFormat="1" ht="31.5">
      <c r="A17" s="829" t="s">
        <v>1217</v>
      </c>
      <c r="B17" s="102">
        <v>930</v>
      </c>
      <c r="C17" s="103" t="s">
        <v>210</v>
      </c>
      <c r="D17" s="103" t="s">
        <v>213</v>
      </c>
      <c r="E17" s="103" t="s">
        <v>1257</v>
      </c>
      <c r="F17" s="103"/>
      <c r="G17" s="104">
        <f>G18+G22+G25</f>
        <v>2622.7429999999999</v>
      </c>
      <c r="H17" s="104">
        <f>+H18+H22+H25</f>
        <v>2622.7429999999999</v>
      </c>
      <c r="I17" s="469"/>
    </row>
    <row r="18" spans="1:11" s="90" customFormat="1">
      <c r="A18" s="74" t="s">
        <v>1207</v>
      </c>
      <c r="B18" s="97">
        <v>930</v>
      </c>
      <c r="C18" s="95" t="s">
        <v>210</v>
      </c>
      <c r="D18" s="95" t="s">
        <v>213</v>
      </c>
      <c r="E18" s="95" t="s">
        <v>1258</v>
      </c>
      <c r="F18" s="95"/>
      <c r="G18" s="201">
        <f>G19+G20+G21</f>
        <v>495.00299999999999</v>
      </c>
      <c r="H18" s="201">
        <f>H19+H20+H21</f>
        <v>495.00299999999999</v>
      </c>
      <c r="I18" s="469"/>
      <c r="K18" s="146"/>
    </row>
    <row r="19" spans="1:11" s="90" customFormat="1">
      <c r="A19" s="76" t="s">
        <v>415</v>
      </c>
      <c r="B19" s="98">
        <v>930</v>
      </c>
      <c r="C19" s="96" t="s">
        <v>210</v>
      </c>
      <c r="D19" s="96" t="s">
        <v>213</v>
      </c>
      <c r="E19" s="95" t="s">
        <v>1258</v>
      </c>
      <c r="F19" s="96" t="s">
        <v>400</v>
      </c>
      <c r="G19" s="199">
        <v>341.78399999999999</v>
      </c>
      <c r="H19" s="109">
        <v>341.78399999999999</v>
      </c>
      <c r="I19" s="469"/>
    </row>
    <row r="20" spans="1:11" s="90" customFormat="1" ht="47.25">
      <c r="A20" s="195" t="s">
        <v>416</v>
      </c>
      <c r="B20" s="98">
        <v>930</v>
      </c>
      <c r="C20" s="96" t="s">
        <v>210</v>
      </c>
      <c r="D20" s="96" t="s">
        <v>213</v>
      </c>
      <c r="E20" s="95" t="s">
        <v>1258</v>
      </c>
      <c r="F20" s="96" t="s">
        <v>417</v>
      </c>
      <c r="G20" s="199">
        <v>103.21899999999999</v>
      </c>
      <c r="H20" s="387">
        <v>103.21899999999999</v>
      </c>
      <c r="I20" s="469"/>
    </row>
    <row r="21" spans="1:11" s="90" customFormat="1" ht="35.25" customHeight="1">
      <c r="A21" s="152" t="s">
        <v>267</v>
      </c>
      <c r="B21" s="98">
        <v>930</v>
      </c>
      <c r="C21" s="96" t="s">
        <v>210</v>
      </c>
      <c r="D21" s="96" t="s">
        <v>213</v>
      </c>
      <c r="E21" s="95" t="s">
        <v>1258</v>
      </c>
      <c r="F21" s="96" t="s">
        <v>401</v>
      </c>
      <c r="G21" s="199">
        <v>50</v>
      </c>
      <c r="H21" s="387">
        <v>50</v>
      </c>
      <c r="I21" s="469"/>
    </row>
    <row r="22" spans="1:11" s="90" customFormat="1" ht="31.5">
      <c r="A22" s="77" t="s">
        <v>374</v>
      </c>
      <c r="B22" s="98">
        <v>930</v>
      </c>
      <c r="C22" s="95" t="s">
        <v>210</v>
      </c>
      <c r="D22" s="95" t="s">
        <v>213</v>
      </c>
      <c r="E22" s="95" t="s">
        <v>1259</v>
      </c>
      <c r="F22" s="95"/>
      <c r="G22" s="201">
        <f>G23+G24</f>
        <v>1747.7399999999998</v>
      </c>
      <c r="H22" s="201">
        <f>H23+H24</f>
        <v>1747.7399999999998</v>
      </c>
      <c r="I22" s="469"/>
    </row>
    <row r="23" spans="1:11" s="90" customFormat="1" ht="45" customHeight="1">
      <c r="A23" s="76" t="s">
        <v>415</v>
      </c>
      <c r="B23" s="98">
        <v>930</v>
      </c>
      <c r="C23" s="96" t="s">
        <v>210</v>
      </c>
      <c r="D23" s="96" t="s">
        <v>213</v>
      </c>
      <c r="E23" s="95" t="s">
        <v>1259</v>
      </c>
      <c r="F23" s="96" t="s">
        <v>400</v>
      </c>
      <c r="G23" s="199">
        <v>1342.35</v>
      </c>
      <c r="H23" s="109">
        <v>1342.35</v>
      </c>
      <c r="I23" s="469"/>
    </row>
    <row r="24" spans="1:11" s="90" customFormat="1" ht="47.25">
      <c r="A24" s="195" t="s">
        <v>416</v>
      </c>
      <c r="B24" s="98">
        <v>930</v>
      </c>
      <c r="C24" s="96" t="s">
        <v>210</v>
      </c>
      <c r="D24" s="96" t="s">
        <v>213</v>
      </c>
      <c r="E24" s="95" t="s">
        <v>1259</v>
      </c>
      <c r="F24" s="96" t="s">
        <v>417</v>
      </c>
      <c r="G24" s="199">
        <v>405.39</v>
      </c>
      <c r="H24" s="109">
        <v>405.39</v>
      </c>
      <c r="I24" s="469"/>
    </row>
    <row r="25" spans="1:11" s="92" customFormat="1" ht="31.5">
      <c r="A25" s="77" t="s">
        <v>381</v>
      </c>
      <c r="B25" s="97">
        <v>930</v>
      </c>
      <c r="C25" s="95" t="s">
        <v>210</v>
      </c>
      <c r="D25" s="95" t="s">
        <v>213</v>
      </c>
      <c r="E25" s="96" t="s">
        <v>1260</v>
      </c>
      <c r="F25" s="95"/>
      <c r="G25" s="201">
        <f>G26</f>
        <v>380</v>
      </c>
      <c r="H25" s="201">
        <f>H26</f>
        <v>380</v>
      </c>
      <c r="I25" s="470"/>
    </row>
    <row r="26" spans="1:11" s="90" customFormat="1" ht="51" customHeight="1">
      <c r="A26" s="169" t="s">
        <v>135</v>
      </c>
      <c r="B26" s="153">
        <v>930</v>
      </c>
      <c r="C26" s="149" t="s">
        <v>210</v>
      </c>
      <c r="D26" s="149" t="s">
        <v>213</v>
      </c>
      <c r="E26" s="96" t="s">
        <v>1260</v>
      </c>
      <c r="F26" s="149" t="s">
        <v>136</v>
      </c>
      <c r="G26" s="148">
        <v>380</v>
      </c>
      <c r="H26" s="148">
        <v>380</v>
      </c>
      <c r="I26" s="469"/>
    </row>
    <row r="27" spans="1:11" s="90" customFormat="1" ht="31.5">
      <c r="A27" s="342" t="s">
        <v>154</v>
      </c>
      <c r="B27" s="343">
        <v>930</v>
      </c>
      <c r="C27" s="344" t="s">
        <v>210</v>
      </c>
      <c r="D27" s="344" t="s">
        <v>216</v>
      </c>
      <c r="E27" s="344"/>
      <c r="F27" s="344"/>
      <c r="G27" s="222">
        <f>G30++G33+G36</f>
        <v>2384.4960000000001</v>
      </c>
      <c r="H27" s="222">
        <f>H30++H33+H36</f>
        <v>2384.4960000000001</v>
      </c>
      <c r="I27" s="538">
        <f>H27+H41</f>
        <v>10912.91</v>
      </c>
      <c r="J27" s="146"/>
    </row>
    <row r="28" spans="1:11" s="90" customFormat="1" ht="47.25">
      <c r="A28" s="625" t="s">
        <v>1236</v>
      </c>
      <c r="B28" s="859">
        <v>930</v>
      </c>
      <c r="C28" s="634" t="s">
        <v>210</v>
      </c>
      <c r="D28" s="634" t="s">
        <v>216</v>
      </c>
      <c r="E28" s="634" t="s">
        <v>1249</v>
      </c>
      <c r="F28" s="634"/>
      <c r="G28" s="460">
        <f>G29</f>
        <v>2384.4960000000001</v>
      </c>
      <c r="H28" s="460">
        <f>H29</f>
        <v>2384.4960000000001</v>
      </c>
      <c r="I28" s="469"/>
    </row>
    <row r="29" spans="1:11" s="90" customFormat="1" ht="31.5">
      <c r="A29" s="829" t="s">
        <v>1217</v>
      </c>
      <c r="B29" s="102">
        <v>930</v>
      </c>
      <c r="C29" s="103" t="s">
        <v>210</v>
      </c>
      <c r="D29" s="103" t="s">
        <v>216</v>
      </c>
      <c r="E29" s="103" t="s">
        <v>1257</v>
      </c>
      <c r="F29" s="103"/>
      <c r="G29" s="104">
        <f>G30+G33+G36</f>
        <v>2384.4960000000001</v>
      </c>
      <c r="H29" s="104">
        <f>H30+H33+H36</f>
        <v>2384.4960000000001</v>
      </c>
      <c r="I29" s="469"/>
    </row>
    <row r="30" spans="1:11" s="90" customFormat="1" ht="31.5">
      <c r="A30" s="221" t="s">
        <v>379</v>
      </c>
      <c r="B30" s="341">
        <v>930</v>
      </c>
      <c r="C30" s="200" t="s">
        <v>210</v>
      </c>
      <c r="D30" s="200" t="s">
        <v>216</v>
      </c>
      <c r="E30" s="200" t="s">
        <v>1263</v>
      </c>
      <c r="F30" s="200"/>
      <c r="G30" s="201">
        <f>G31+G32</f>
        <v>449.2</v>
      </c>
      <c r="H30" s="201">
        <f>H31+H32</f>
        <v>449.2</v>
      </c>
      <c r="I30" s="469"/>
    </row>
    <row r="31" spans="1:11" s="90" customFormat="1">
      <c r="A31" s="76" t="s">
        <v>415</v>
      </c>
      <c r="B31" s="98">
        <v>930</v>
      </c>
      <c r="C31" s="96" t="s">
        <v>210</v>
      </c>
      <c r="D31" s="96" t="s">
        <v>216</v>
      </c>
      <c r="E31" s="200" t="s">
        <v>1263</v>
      </c>
      <c r="F31" s="96" t="s">
        <v>400</v>
      </c>
      <c r="G31" s="148">
        <v>345.00767999999999</v>
      </c>
      <c r="H31" s="109">
        <v>345.00767999999999</v>
      </c>
      <c r="I31" s="469"/>
    </row>
    <row r="32" spans="1:11" s="90" customFormat="1" ht="47.25">
      <c r="A32" s="195" t="s">
        <v>416</v>
      </c>
      <c r="B32" s="98">
        <v>930</v>
      </c>
      <c r="C32" s="96" t="s">
        <v>210</v>
      </c>
      <c r="D32" s="96" t="s">
        <v>216</v>
      </c>
      <c r="E32" s="200" t="s">
        <v>1263</v>
      </c>
      <c r="F32" s="96" t="s">
        <v>417</v>
      </c>
      <c r="G32" s="148">
        <v>104.19232</v>
      </c>
      <c r="H32" s="109">
        <v>104.19232</v>
      </c>
      <c r="I32" s="469"/>
    </row>
    <row r="33" spans="1:9" s="90" customFormat="1" ht="31.5">
      <c r="A33" s="221" t="s">
        <v>375</v>
      </c>
      <c r="B33" s="341">
        <v>930</v>
      </c>
      <c r="C33" s="200" t="s">
        <v>210</v>
      </c>
      <c r="D33" s="200" t="s">
        <v>216</v>
      </c>
      <c r="E33" s="200" t="s">
        <v>1261</v>
      </c>
      <c r="F33" s="200"/>
      <c r="G33" s="201">
        <f>G34+G35</f>
        <v>1373.876</v>
      </c>
      <c r="H33" s="201">
        <f>H34+H35</f>
        <v>1373.876</v>
      </c>
      <c r="I33" s="469"/>
    </row>
    <row r="34" spans="1:9" s="90" customFormat="1">
      <c r="A34" s="76" t="s">
        <v>415</v>
      </c>
      <c r="B34" s="98">
        <v>930</v>
      </c>
      <c r="C34" s="96" t="s">
        <v>210</v>
      </c>
      <c r="D34" s="96" t="s">
        <v>216</v>
      </c>
      <c r="E34" s="200" t="s">
        <v>1261</v>
      </c>
      <c r="F34" s="96" t="s">
        <v>400</v>
      </c>
      <c r="G34" s="109">
        <v>1055.204</v>
      </c>
      <c r="H34" s="109">
        <v>1055.204</v>
      </c>
      <c r="I34" s="469"/>
    </row>
    <row r="35" spans="1:9" s="92" customFormat="1" ht="47.25">
      <c r="A35" s="195" t="s">
        <v>416</v>
      </c>
      <c r="B35" s="98">
        <v>930</v>
      </c>
      <c r="C35" s="96" t="s">
        <v>210</v>
      </c>
      <c r="D35" s="96" t="s">
        <v>216</v>
      </c>
      <c r="E35" s="200" t="s">
        <v>1261</v>
      </c>
      <c r="F35" s="96" t="s">
        <v>417</v>
      </c>
      <c r="G35" s="109">
        <v>318.67200000000003</v>
      </c>
      <c r="H35" s="387">
        <v>318.67200000000003</v>
      </c>
      <c r="I35" s="470"/>
    </row>
    <row r="36" spans="1:9" s="90" customFormat="1" ht="31.5">
      <c r="A36" s="221" t="s">
        <v>238</v>
      </c>
      <c r="B36" s="340">
        <v>930</v>
      </c>
      <c r="C36" s="200" t="s">
        <v>210</v>
      </c>
      <c r="D36" s="200" t="s">
        <v>216</v>
      </c>
      <c r="E36" s="200" t="s">
        <v>1262</v>
      </c>
      <c r="F36" s="200"/>
      <c r="G36" s="201">
        <f>G37+G38</f>
        <v>561.41999999999996</v>
      </c>
      <c r="H36" s="387">
        <f>H37+H38</f>
        <v>561.41999999999996</v>
      </c>
      <c r="I36" s="469"/>
    </row>
    <row r="37" spans="1:9" s="90" customFormat="1">
      <c r="A37" s="76" t="s">
        <v>415</v>
      </c>
      <c r="B37" s="98">
        <v>930</v>
      </c>
      <c r="C37" s="96" t="s">
        <v>210</v>
      </c>
      <c r="D37" s="96" t="s">
        <v>216</v>
      </c>
      <c r="E37" s="200" t="s">
        <v>1262</v>
      </c>
      <c r="F37" s="96" t="s">
        <v>400</v>
      </c>
      <c r="G37" s="109">
        <v>431.19799999999998</v>
      </c>
      <c r="H37" s="387">
        <v>431.19799999999998</v>
      </c>
      <c r="I37" s="469"/>
    </row>
    <row r="38" spans="1:9" s="90" customFormat="1" ht="31.5">
      <c r="A38" s="76" t="s">
        <v>155</v>
      </c>
      <c r="B38" s="98">
        <v>930</v>
      </c>
      <c r="C38" s="96" t="s">
        <v>210</v>
      </c>
      <c r="D38" s="96" t="s">
        <v>216</v>
      </c>
      <c r="E38" s="200" t="s">
        <v>1262</v>
      </c>
      <c r="F38" s="96" t="s">
        <v>417</v>
      </c>
      <c r="G38" s="109">
        <v>130.22200000000001</v>
      </c>
      <c r="H38" s="387">
        <v>130.22200000000001</v>
      </c>
      <c r="I38" s="469"/>
    </row>
    <row r="39" spans="1:9" s="90" customFormat="1">
      <c r="A39" s="123" t="s">
        <v>193</v>
      </c>
      <c r="B39" s="99">
        <v>931</v>
      </c>
      <c r="C39" s="100"/>
      <c r="D39" s="100"/>
      <c r="E39" s="100"/>
      <c r="F39" s="100"/>
      <c r="G39" s="101">
        <f>G40+G54</f>
        <v>38028.513999999996</v>
      </c>
      <c r="H39" s="101">
        <f>H40+H54</f>
        <v>38914.513999999996</v>
      </c>
      <c r="I39" s="469"/>
    </row>
    <row r="40" spans="1:9">
      <c r="A40" s="80" t="s">
        <v>224</v>
      </c>
      <c r="B40" s="102">
        <v>931</v>
      </c>
      <c r="C40" s="103" t="s">
        <v>210</v>
      </c>
      <c r="D40" s="103"/>
      <c r="E40" s="103"/>
      <c r="F40" s="103"/>
      <c r="G40" s="104">
        <f>G41</f>
        <v>8528.4140000000007</v>
      </c>
      <c r="H40" s="104">
        <f>H41</f>
        <v>8528.4140000000007</v>
      </c>
    </row>
    <row r="41" spans="1:9" s="91" customFormat="1" ht="42.75" customHeight="1">
      <c r="A41" s="79" t="s">
        <v>154</v>
      </c>
      <c r="B41" s="105">
        <v>931</v>
      </c>
      <c r="C41" s="106" t="s">
        <v>210</v>
      </c>
      <c r="D41" s="106" t="s">
        <v>216</v>
      </c>
      <c r="E41" s="103"/>
      <c r="F41" s="106"/>
      <c r="G41" s="107">
        <f>G42+G51</f>
        <v>8528.4140000000007</v>
      </c>
      <c r="H41" s="107">
        <f>H42+H51</f>
        <v>8528.4140000000007</v>
      </c>
      <c r="I41" s="471"/>
    </row>
    <row r="42" spans="1:9" s="91" customFormat="1" ht="42.75" customHeight="1">
      <c r="A42" s="625" t="s">
        <v>1236</v>
      </c>
      <c r="B42" s="859">
        <v>931</v>
      </c>
      <c r="C42" s="634" t="s">
        <v>210</v>
      </c>
      <c r="D42" s="634" t="s">
        <v>216</v>
      </c>
      <c r="E42" s="634" t="s">
        <v>1249</v>
      </c>
      <c r="F42" s="183"/>
      <c r="G42" s="185">
        <f>G43</f>
        <v>7512.8200000000006</v>
      </c>
      <c r="H42" s="185">
        <f>H43</f>
        <v>7512.8200000000006</v>
      </c>
      <c r="I42" s="471"/>
    </row>
    <row r="43" spans="1:9" s="91" customFormat="1" ht="42.75" customHeight="1">
      <c r="A43" s="829" t="s">
        <v>1248</v>
      </c>
      <c r="B43" s="98">
        <v>931</v>
      </c>
      <c r="C43" s="96" t="s">
        <v>210</v>
      </c>
      <c r="D43" s="96" t="s">
        <v>216</v>
      </c>
      <c r="E43" s="96" t="s">
        <v>1266</v>
      </c>
      <c r="F43" s="106"/>
      <c r="G43" s="107">
        <f>G44</f>
        <v>7512.8200000000006</v>
      </c>
      <c r="H43" s="107">
        <f>H44</f>
        <v>7512.8200000000006</v>
      </c>
      <c r="I43" s="471"/>
    </row>
    <row r="44" spans="1:9" s="91" customFormat="1" ht="42.75" customHeight="1">
      <c r="A44" s="829" t="s">
        <v>1237</v>
      </c>
      <c r="B44" s="98">
        <v>931</v>
      </c>
      <c r="C44" s="96" t="s">
        <v>210</v>
      </c>
      <c r="D44" s="96" t="s">
        <v>216</v>
      </c>
      <c r="E44" s="96" t="s">
        <v>1242</v>
      </c>
      <c r="F44" s="106"/>
      <c r="G44" s="107">
        <f>G45+G48</f>
        <v>7512.8200000000006</v>
      </c>
      <c r="H44" s="107">
        <f>H45+H48</f>
        <v>7512.8200000000006</v>
      </c>
      <c r="I44" s="471"/>
    </row>
    <row r="45" spans="1:9" s="91" customFormat="1" ht="42.75" customHeight="1">
      <c r="A45" s="79" t="s">
        <v>1207</v>
      </c>
      <c r="B45" s="98">
        <v>931</v>
      </c>
      <c r="C45" s="96" t="s">
        <v>210</v>
      </c>
      <c r="D45" s="96" t="s">
        <v>216</v>
      </c>
      <c r="E45" s="96" t="s">
        <v>1267</v>
      </c>
      <c r="F45" s="106"/>
      <c r="G45" s="107">
        <f>G46+G47</f>
        <v>2758.2200000000003</v>
      </c>
      <c r="H45" s="107">
        <f>H46+H47</f>
        <v>2758.2200000000003</v>
      </c>
      <c r="I45" s="471"/>
    </row>
    <row r="46" spans="1:9" s="91" customFormat="1" ht="42.75" customHeight="1">
      <c r="A46" s="76" t="s">
        <v>415</v>
      </c>
      <c r="B46" s="98">
        <v>931</v>
      </c>
      <c r="C46" s="96" t="s">
        <v>210</v>
      </c>
      <c r="D46" s="96" t="s">
        <v>216</v>
      </c>
      <c r="E46" s="96" t="s">
        <v>1267</v>
      </c>
      <c r="F46" s="106" t="s">
        <v>400</v>
      </c>
      <c r="G46" s="109">
        <v>2118.4490000000001</v>
      </c>
      <c r="H46" s="109">
        <v>2118.4490000000001</v>
      </c>
      <c r="I46" s="471"/>
    </row>
    <row r="47" spans="1:9" s="91" customFormat="1" ht="42.75" customHeight="1">
      <c r="A47" s="195" t="s">
        <v>416</v>
      </c>
      <c r="B47" s="98">
        <v>931</v>
      </c>
      <c r="C47" s="96" t="s">
        <v>210</v>
      </c>
      <c r="D47" s="96" t="s">
        <v>216</v>
      </c>
      <c r="E47" s="96" t="s">
        <v>1267</v>
      </c>
      <c r="F47" s="106" t="s">
        <v>417</v>
      </c>
      <c r="G47" s="148">
        <v>639.77099999999996</v>
      </c>
      <c r="H47" s="148">
        <v>639.77099999999996</v>
      </c>
      <c r="I47" s="471"/>
    </row>
    <row r="48" spans="1:9" s="91" customFormat="1" ht="42.75" customHeight="1">
      <c r="A48" s="77" t="s">
        <v>194</v>
      </c>
      <c r="B48" s="98">
        <v>931</v>
      </c>
      <c r="C48" s="96" t="s">
        <v>210</v>
      </c>
      <c r="D48" s="96" t="s">
        <v>216</v>
      </c>
      <c r="E48" s="96" t="s">
        <v>1246</v>
      </c>
      <c r="F48" s="106"/>
      <c r="G48" s="107">
        <f>G49+G50</f>
        <v>4754.6000000000004</v>
      </c>
      <c r="H48" s="107">
        <f>H49+H50</f>
        <v>4754.6000000000004</v>
      </c>
      <c r="I48" s="471"/>
    </row>
    <row r="49" spans="1:10" s="91" customFormat="1" ht="42.75" customHeight="1">
      <c r="A49" s="76" t="s">
        <v>415</v>
      </c>
      <c r="B49" s="98">
        <v>931</v>
      </c>
      <c r="C49" s="96" t="s">
        <v>210</v>
      </c>
      <c r="D49" s="96" t="s">
        <v>216</v>
      </c>
      <c r="E49" s="96" t="s">
        <v>1246</v>
      </c>
      <c r="F49" s="106" t="s">
        <v>400</v>
      </c>
      <c r="G49" s="107">
        <v>3651.7665099999999</v>
      </c>
      <c r="H49" s="107">
        <v>3651.7665099999999</v>
      </c>
      <c r="I49" s="471"/>
    </row>
    <row r="50" spans="1:10" s="91" customFormat="1" ht="42.75" customHeight="1">
      <c r="A50" s="195" t="s">
        <v>416</v>
      </c>
      <c r="B50" s="98">
        <v>931</v>
      </c>
      <c r="C50" s="96" t="s">
        <v>210</v>
      </c>
      <c r="D50" s="96" t="s">
        <v>216</v>
      </c>
      <c r="E50" s="96" t="s">
        <v>1246</v>
      </c>
      <c r="F50" s="106" t="s">
        <v>417</v>
      </c>
      <c r="G50" s="107">
        <v>1102.83349</v>
      </c>
      <c r="H50" s="107">
        <v>1102.83349</v>
      </c>
      <c r="I50" s="471"/>
    </row>
    <row r="51" spans="1:10" s="91" customFormat="1" ht="43.5" customHeight="1">
      <c r="A51" s="221" t="s">
        <v>452</v>
      </c>
      <c r="B51" s="341">
        <v>931</v>
      </c>
      <c r="C51" s="204" t="s">
        <v>210</v>
      </c>
      <c r="D51" s="204" t="s">
        <v>216</v>
      </c>
      <c r="E51" s="204" t="s">
        <v>788</v>
      </c>
      <c r="F51" s="644"/>
      <c r="G51" s="201">
        <f>G52+G53</f>
        <v>1015.5940000000001</v>
      </c>
      <c r="H51" s="201">
        <f>H52+H53</f>
        <v>1015.5940000000001</v>
      </c>
      <c r="I51" s="471"/>
    </row>
    <row r="52" spans="1:10" ht="31.5">
      <c r="A52" s="125" t="s">
        <v>406</v>
      </c>
      <c r="B52" s="98">
        <v>931</v>
      </c>
      <c r="C52" s="96" t="s">
        <v>210</v>
      </c>
      <c r="D52" s="96" t="s">
        <v>216</v>
      </c>
      <c r="E52" s="149" t="s">
        <v>1198</v>
      </c>
      <c r="F52" s="110">
        <v>242</v>
      </c>
      <c r="G52" s="109">
        <v>759.7</v>
      </c>
      <c r="H52" s="109">
        <v>759.7</v>
      </c>
    </row>
    <row r="53" spans="1:10" ht="31.5">
      <c r="A53" s="152" t="s">
        <v>267</v>
      </c>
      <c r="B53" s="98">
        <v>931</v>
      </c>
      <c r="C53" s="96" t="s">
        <v>210</v>
      </c>
      <c r="D53" s="96" t="s">
        <v>216</v>
      </c>
      <c r="E53" s="149" t="s">
        <v>1198</v>
      </c>
      <c r="F53" s="110">
        <v>244</v>
      </c>
      <c r="G53" s="109">
        <v>255.89400000000001</v>
      </c>
      <c r="H53" s="109">
        <v>255.89400000000001</v>
      </c>
    </row>
    <row r="54" spans="1:10" s="91" customFormat="1" ht="31.5">
      <c r="A54" s="80" t="s">
        <v>153</v>
      </c>
      <c r="B54" s="102">
        <v>931</v>
      </c>
      <c r="C54" s="103" t="s">
        <v>223</v>
      </c>
      <c r="D54" s="103"/>
      <c r="E54" s="103"/>
      <c r="F54" s="103"/>
      <c r="G54" s="104">
        <f>G55+G58</f>
        <v>29500.1</v>
      </c>
      <c r="H54" s="104">
        <f>H55+H58</f>
        <v>30386.1</v>
      </c>
      <c r="I54" s="472"/>
    </row>
    <row r="55" spans="1:10" s="91" customFormat="1" ht="31.5">
      <c r="A55" s="79" t="s">
        <v>548</v>
      </c>
      <c r="B55" s="105">
        <v>931</v>
      </c>
      <c r="C55" s="106" t="s">
        <v>223</v>
      </c>
      <c r="D55" s="106" t="s">
        <v>210</v>
      </c>
      <c r="E55" s="103"/>
      <c r="F55" s="106"/>
      <c r="G55" s="107">
        <f>G56</f>
        <v>100.1</v>
      </c>
      <c r="H55" s="107">
        <f>H56</f>
        <v>104.1</v>
      </c>
      <c r="I55" s="472"/>
      <c r="J55" s="205"/>
    </row>
    <row r="56" spans="1:10" ht="31.5">
      <c r="A56" s="77" t="s">
        <v>398</v>
      </c>
      <c r="B56" s="98">
        <v>931</v>
      </c>
      <c r="C56" s="96" t="s">
        <v>223</v>
      </c>
      <c r="D56" s="96" t="s">
        <v>210</v>
      </c>
      <c r="E56" s="149" t="s">
        <v>1199</v>
      </c>
      <c r="F56" s="96"/>
      <c r="G56" s="109">
        <f>G57</f>
        <v>100.1</v>
      </c>
      <c r="H56" s="109">
        <f>H57</f>
        <v>104.1</v>
      </c>
    </row>
    <row r="57" spans="1:10" ht="31.5">
      <c r="A57" s="238" t="s">
        <v>39</v>
      </c>
      <c r="B57" s="98">
        <v>931</v>
      </c>
      <c r="C57" s="96" t="s">
        <v>223</v>
      </c>
      <c r="D57" s="96" t="s">
        <v>210</v>
      </c>
      <c r="E57" s="149" t="s">
        <v>1199</v>
      </c>
      <c r="F57" s="96" t="s">
        <v>53</v>
      </c>
      <c r="G57" s="109">
        <v>100.1</v>
      </c>
      <c r="H57" s="109">
        <v>104.1</v>
      </c>
      <c r="I57" s="536">
        <f>G57</f>
        <v>100.1</v>
      </c>
      <c r="J57" s="85">
        <f>H57</f>
        <v>104.1</v>
      </c>
    </row>
    <row r="58" spans="1:10" s="91" customFormat="1">
      <c r="A58" s="79" t="s">
        <v>73</v>
      </c>
      <c r="B58" s="105">
        <v>931</v>
      </c>
      <c r="C58" s="106" t="s">
        <v>223</v>
      </c>
      <c r="D58" s="106" t="s">
        <v>213</v>
      </c>
      <c r="E58" s="103"/>
      <c r="F58" s="106"/>
      <c r="G58" s="107">
        <f>G59</f>
        <v>29400</v>
      </c>
      <c r="H58" s="107">
        <f>H59</f>
        <v>30282</v>
      </c>
      <c r="I58" s="471"/>
    </row>
    <row r="59" spans="1:10" ht="37.5" customHeight="1">
      <c r="A59" s="221" t="s">
        <v>799</v>
      </c>
      <c r="B59" s="98">
        <v>931</v>
      </c>
      <c r="C59" s="96" t="s">
        <v>223</v>
      </c>
      <c r="D59" s="96" t="s">
        <v>213</v>
      </c>
      <c r="E59" s="636">
        <v>9990062020</v>
      </c>
      <c r="F59" s="96"/>
      <c r="G59" s="109">
        <f>G60</f>
        <v>29400</v>
      </c>
      <c r="H59" s="109">
        <f>H60</f>
        <v>30282</v>
      </c>
    </row>
    <row r="60" spans="1:10" ht="14.25" customHeight="1">
      <c r="A60" s="76" t="s">
        <v>399</v>
      </c>
      <c r="B60" s="98">
        <v>931</v>
      </c>
      <c r="C60" s="96" t="s">
        <v>223</v>
      </c>
      <c r="D60" s="96" t="s">
        <v>213</v>
      </c>
      <c r="E60" s="636">
        <v>9990062020</v>
      </c>
      <c r="F60" s="96" t="s">
        <v>410</v>
      </c>
      <c r="G60" s="109">
        <v>29400</v>
      </c>
      <c r="H60" s="109">
        <v>30282</v>
      </c>
    </row>
    <row r="61" spans="1:10" s="90" customFormat="1">
      <c r="A61" s="123" t="s">
        <v>196</v>
      </c>
      <c r="B61" s="99">
        <v>934</v>
      </c>
      <c r="C61" s="100"/>
      <c r="D61" s="100"/>
      <c r="E61" s="100"/>
      <c r="F61" s="100"/>
      <c r="G61" s="101">
        <f>G62+G122+G129+G185+G190+G212+G233+G279+G308+G314</f>
        <v>154599.20409000001</v>
      </c>
      <c r="H61" s="101">
        <f>H62+H122+H129+H185+H190+H212+H233+H279+H308+H314</f>
        <v>159688.50383</v>
      </c>
      <c r="I61" s="469"/>
    </row>
    <row r="62" spans="1:10" s="92" customFormat="1">
      <c r="A62" s="80" t="s">
        <v>224</v>
      </c>
      <c r="B62" s="102">
        <v>934</v>
      </c>
      <c r="C62" s="103" t="s">
        <v>210</v>
      </c>
      <c r="D62" s="103"/>
      <c r="E62" s="103"/>
      <c r="F62" s="103"/>
      <c r="G62" s="104">
        <f>G63+G71+G88+G94+G97</f>
        <v>47762.777999999998</v>
      </c>
      <c r="H62" s="104">
        <f>H63+H71+H88+H94+H97</f>
        <v>52835.588000000003</v>
      </c>
      <c r="I62" s="469"/>
    </row>
    <row r="63" spans="1:10" s="91" customFormat="1" ht="31.5">
      <c r="A63" s="79" t="s">
        <v>380</v>
      </c>
      <c r="B63" s="105">
        <v>934</v>
      </c>
      <c r="C63" s="106" t="s">
        <v>210</v>
      </c>
      <c r="D63" s="106" t="s">
        <v>211</v>
      </c>
      <c r="E63" s="106"/>
      <c r="F63" s="106"/>
      <c r="G63" s="107">
        <f t="shared" ref="G63:H66" si="1">G64</f>
        <v>2101.87</v>
      </c>
      <c r="H63" s="107">
        <f t="shared" si="1"/>
        <v>3147.8</v>
      </c>
      <c r="I63" s="469"/>
      <c r="J63" s="205"/>
    </row>
    <row r="64" spans="1:10" s="90" customFormat="1" ht="47.25">
      <c r="A64" s="625" t="s">
        <v>1236</v>
      </c>
      <c r="B64" s="174">
        <v>934</v>
      </c>
      <c r="C64" s="175" t="s">
        <v>210</v>
      </c>
      <c r="D64" s="175" t="s">
        <v>211</v>
      </c>
      <c r="E64" s="634" t="s">
        <v>1249</v>
      </c>
      <c r="F64" s="183"/>
      <c r="G64" s="185">
        <f t="shared" si="1"/>
        <v>2101.87</v>
      </c>
      <c r="H64" s="185">
        <f t="shared" si="1"/>
        <v>3147.8</v>
      </c>
      <c r="I64" s="469"/>
    </row>
    <row r="65" spans="1:9" ht="31.5">
      <c r="A65" s="829" t="s">
        <v>1248</v>
      </c>
      <c r="B65" s="97">
        <v>934</v>
      </c>
      <c r="C65" s="95" t="s">
        <v>210</v>
      </c>
      <c r="D65" s="95" t="s">
        <v>211</v>
      </c>
      <c r="E65" s="96" t="s">
        <v>1266</v>
      </c>
      <c r="F65" s="106"/>
      <c r="G65" s="107">
        <f t="shared" si="1"/>
        <v>2101.87</v>
      </c>
      <c r="H65" s="107">
        <f t="shared" si="1"/>
        <v>3147.8</v>
      </c>
      <c r="I65" s="469"/>
    </row>
    <row r="66" spans="1:9" ht="47.25">
      <c r="A66" s="829" t="s">
        <v>1237</v>
      </c>
      <c r="B66" s="97">
        <v>934</v>
      </c>
      <c r="C66" s="95" t="s">
        <v>210</v>
      </c>
      <c r="D66" s="95" t="s">
        <v>211</v>
      </c>
      <c r="E66" s="96" t="s">
        <v>1242</v>
      </c>
      <c r="F66" s="106"/>
      <c r="G66" s="107">
        <f t="shared" si="1"/>
        <v>2101.87</v>
      </c>
      <c r="H66" s="107">
        <f t="shared" si="1"/>
        <v>3147.8</v>
      </c>
      <c r="I66" s="469"/>
    </row>
    <row r="67" spans="1:9">
      <c r="A67" s="829" t="s">
        <v>1207</v>
      </c>
      <c r="B67" s="98">
        <v>934</v>
      </c>
      <c r="C67" s="96" t="s">
        <v>210</v>
      </c>
      <c r="D67" s="96" t="s">
        <v>211</v>
      </c>
      <c r="E67" s="96" t="s">
        <v>1243</v>
      </c>
      <c r="F67" s="106"/>
      <c r="G67" s="107">
        <f>G68+G69+G70</f>
        <v>2101.87</v>
      </c>
      <c r="H67" s="107">
        <f>H68+H69+H70</f>
        <v>3147.8</v>
      </c>
      <c r="I67" s="469"/>
    </row>
    <row r="68" spans="1:9">
      <c r="A68" s="76" t="s">
        <v>415</v>
      </c>
      <c r="B68" s="98">
        <v>934</v>
      </c>
      <c r="C68" s="96" t="s">
        <v>210</v>
      </c>
      <c r="D68" s="96" t="s">
        <v>211</v>
      </c>
      <c r="E68" s="96" t="s">
        <v>1243</v>
      </c>
      <c r="F68" s="96" t="s">
        <v>400</v>
      </c>
      <c r="G68" s="109">
        <v>1606.6589799999999</v>
      </c>
      <c r="H68" s="109">
        <v>2409.9</v>
      </c>
      <c r="I68" s="469"/>
    </row>
    <row r="69" spans="1:9" ht="31.5">
      <c r="A69" s="76" t="s">
        <v>10</v>
      </c>
      <c r="B69" s="98">
        <v>934</v>
      </c>
      <c r="C69" s="96" t="s">
        <v>210</v>
      </c>
      <c r="D69" s="96" t="s">
        <v>211</v>
      </c>
      <c r="E69" s="96" t="s">
        <v>1243</v>
      </c>
      <c r="F69" s="96" t="s">
        <v>405</v>
      </c>
      <c r="G69" s="109">
        <v>10</v>
      </c>
      <c r="H69" s="109">
        <v>10</v>
      </c>
      <c r="I69" s="469"/>
    </row>
    <row r="70" spans="1:9" ht="47.25">
      <c r="A70" s="195" t="s">
        <v>416</v>
      </c>
      <c r="B70" s="98">
        <v>934</v>
      </c>
      <c r="C70" s="96" t="s">
        <v>210</v>
      </c>
      <c r="D70" s="96" t="s">
        <v>211</v>
      </c>
      <c r="E70" s="96" t="s">
        <v>1243</v>
      </c>
      <c r="F70" s="96" t="s">
        <v>417</v>
      </c>
      <c r="G70" s="109">
        <v>485.21102000000002</v>
      </c>
      <c r="H70" s="109">
        <v>727.9</v>
      </c>
      <c r="I70" s="469"/>
    </row>
    <row r="71" spans="1:9" s="91" customFormat="1" ht="47.25">
      <c r="A71" s="79" t="s">
        <v>266</v>
      </c>
      <c r="B71" s="105">
        <v>934</v>
      </c>
      <c r="C71" s="106" t="s">
        <v>210</v>
      </c>
      <c r="D71" s="106" t="s">
        <v>219</v>
      </c>
      <c r="E71" s="106"/>
      <c r="F71" s="106"/>
      <c r="G71" s="107">
        <f>G72+G76+G84</f>
        <v>12888.207999999999</v>
      </c>
      <c r="H71" s="107">
        <f>H72+H76+H84</f>
        <v>16915.688000000002</v>
      </c>
      <c r="I71" s="469"/>
    </row>
    <row r="72" spans="1:9" s="91" customFormat="1" ht="47.25">
      <c r="A72" s="173" t="s">
        <v>776</v>
      </c>
      <c r="B72" s="174">
        <v>934</v>
      </c>
      <c r="C72" s="175" t="s">
        <v>210</v>
      </c>
      <c r="D72" s="175" t="s">
        <v>219</v>
      </c>
      <c r="E72" s="175" t="s">
        <v>527</v>
      </c>
      <c r="F72" s="175"/>
      <c r="G72" s="177">
        <f>G73</f>
        <v>714.9</v>
      </c>
      <c r="H72" s="177">
        <f>H73</f>
        <v>0</v>
      </c>
      <c r="I72" s="469"/>
    </row>
    <row r="73" spans="1:9" s="91" customFormat="1" ht="45" customHeight="1">
      <c r="A73" s="188" t="s">
        <v>931</v>
      </c>
      <c r="B73" s="189">
        <v>934</v>
      </c>
      <c r="C73" s="186" t="s">
        <v>210</v>
      </c>
      <c r="D73" s="186" t="s">
        <v>219</v>
      </c>
      <c r="E73" s="661" t="s">
        <v>1210</v>
      </c>
      <c r="F73" s="180"/>
      <c r="G73" s="181">
        <f>G74</f>
        <v>714.9</v>
      </c>
      <c r="H73" s="181">
        <v>0</v>
      </c>
      <c r="I73" s="469"/>
    </row>
    <row r="74" spans="1:9" s="91" customFormat="1" ht="42" customHeight="1">
      <c r="A74" s="221" t="s">
        <v>932</v>
      </c>
      <c r="B74" s="174">
        <v>934</v>
      </c>
      <c r="C74" s="175" t="s">
        <v>210</v>
      </c>
      <c r="D74" s="175" t="s">
        <v>219</v>
      </c>
      <c r="E74" s="184" t="s">
        <v>504</v>
      </c>
      <c r="F74" s="175"/>
      <c r="G74" s="177">
        <f>G75</f>
        <v>714.9</v>
      </c>
      <c r="H74" s="177">
        <v>0</v>
      </c>
      <c r="I74" s="469"/>
    </row>
    <row r="75" spans="1:9" s="91" customFormat="1" ht="31.5">
      <c r="A75" s="152" t="s">
        <v>267</v>
      </c>
      <c r="B75" s="98">
        <v>934</v>
      </c>
      <c r="C75" s="96" t="s">
        <v>210</v>
      </c>
      <c r="D75" s="96" t="s">
        <v>219</v>
      </c>
      <c r="E75" s="96" t="s">
        <v>504</v>
      </c>
      <c r="F75" s="110">
        <v>244</v>
      </c>
      <c r="G75" s="109">
        <f>634.9+30+50</f>
        <v>714.9</v>
      </c>
      <c r="H75" s="109">
        <v>0</v>
      </c>
      <c r="I75" s="469"/>
    </row>
    <row r="76" spans="1:9" ht="47.25">
      <c r="A76" s="625" t="s">
        <v>1236</v>
      </c>
      <c r="B76" s="191">
        <v>934</v>
      </c>
      <c r="C76" s="184" t="s">
        <v>210</v>
      </c>
      <c r="D76" s="184" t="s">
        <v>219</v>
      </c>
      <c r="E76" s="634" t="s">
        <v>1249</v>
      </c>
      <c r="F76" s="850"/>
      <c r="G76" s="193">
        <f t="shared" ref="G76:H78" si="2">G77</f>
        <v>10278.219999999999</v>
      </c>
      <c r="H76" s="193">
        <f t="shared" si="2"/>
        <v>15020.6</v>
      </c>
      <c r="I76" s="469"/>
    </row>
    <row r="77" spans="1:9" ht="45" customHeight="1">
      <c r="A77" s="829" t="s">
        <v>1248</v>
      </c>
      <c r="B77" s="189">
        <v>934</v>
      </c>
      <c r="C77" s="186" t="s">
        <v>210</v>
      </c>
      <c r="D77" s="186" t="s">
        <v>219</v>
      </c>
      <c r="E77" s="96" t="s">
        <v>1266</v>
      </c>
      <c r="F77" s="826"/>
      <c r="G77" s="194">
        <f t="shared" si="2"/>
        <v>10278.219999999999</v>
      </c>
      <c r="H77" s="194">
        <f t="shared" si="2"/>
        <v>15020.6</v>
      </c>
      <c r="I77" s="469"/>
    </row>
    <row r="78" spans="1:9" ht="47.25">
      <c r="A78" s="829" t="s">
        <v>1237</v>
      </c>
      <c r="B78" s="98">
        <v>934</v>
      </c>
      <c r="C78" s="96" t="s">
        <v>210</v>
      </c>
      <c r="D78" s="96" t="s">
        <v>219</v>
      </c>
      <c r="E78" s="96" t="s">
        <v>1242</v>
      </c>
      <c r="F78" s="110"/>
      <c r="G78" s="109">
        <f t="shared" si="2"/>
        <v>10278.219999999999</v>
      </c>
      <c r="H78" s="109">
        <f t="shared" si="2"/>
        <v>15020.6</v>
      </c>
      <c r="I78" s="469"/>
    </row>
    <row r="79" spans="1:9">
      <c r="A79" s="829" t="s">
        <v>1207</v>
      </c>
      <c r="B79" s="98">
        <v>934</v>
      </c>
      <c r="C79" s="96" t="s">
        <v>210</v>
      </c>
      <c r="D79" s="96" t="s">
        <v>219</v>
      </c>
      <c r="E79" s="96" t="s">
        <v>1267</v>
      </c>
      <c r="F79" s="110"/>
      <c r="G79" s="109">
        <f>G80+G81+G82+G83</f>
        <v>10278.219999999999</v>
      </c>
      <c r="H79" s="109">
        <f>H80+H81+H82+H83</f>
        <v>15020.6</v>
      </c>
      <c r="I79" s="469"/>
    </row>
    <row r="80" spans="1:9">
      <c r="A80" s="76" t="s">
        <v>415</v>
      </c>
      <c r="B80" s="98">
        <v>934</v>
      </c>
      <c r="C80" s="96" t="s">
        <v>210</v>
      </c>
      <c r="D80" s="96" t="s">
        <v>219</v>
      </c>
      <c r="E80" s="96" t="s">
        <v>1267</v>
      </c>
      <c r="F80" s="96" t="s">
        <v>400</v>
      </c>
      <c r="G80" s="109">
        <v>7334.2703499999998</v>
      </c>
      <c r="H80" s="109">
        <v>10976.7</v>
      </c>
      <c r="I80" s="469"/>
    </row>
    <row r="81" spans="1:9" ht="31.5">
      <c r="A81" s="76" t="s">
        <v>10</v>
      </c>
      <c r="B81" s="98">
        <v>934</v>
      </c>
      <c r="C81" s="96" t="s">
        <v>210</v>
      </c>
      <c r="D81" s="96" t="s">
        <v>219</v>
      </c>
      <c r="E81" s="96" t="s">
        <v>1267</v>
      </c>
      <c r="F81" s="96" t="s">
        <v>405</v>
      </c>
      <c r="G81" s="109">
        <v>50</v>
      </c>
      <c r="H81" s="109">
        <v>50</v>
      </c>
      <c r="I81" s="469"/>
    </row>
    <row r="82" spans="1:9" ht="47.25">
      <c r="A82" s="195" t="s">
        <v>416</v>
      </c>
      <c r="B82" s="98">
        <v>934</v>
      </c>
      <c r="C82" s="96" t="s">
        <v>210</v>
      </c>
      <c r="D82" s="96" t="s">
        <v>219</v>
      </c>
      <c r="E82" s="96" t="s">
        <v>1267</v>
      </c>
      <c r="F82" s="96" t="s">
        <v>417</v>
      </c>
      <c r="G82" s="109">
        <v>2214.94965</v>
      </c>
      <c r="H82" s="109">
        <v>3314.9</v>
      </c>
      <c r="I82" s="469"/>
    </row>
    <row r="83" spans="1:9" s="92" customFormat="1" ht="31.5">
      <c r="A83" s="152" t="s">
        <v>267</v>
      </c>
      <c r="B83" s="98">
        <v>934</v>
      </c>
      <c r="C83" s="96" t="s">
        <v>210</v>
      </c>
      <c r="D83" s="96" t="s">
        <v>219</v>
      </c>
      <c r="E83" s="96" t="s">
        <v>1267</v>
      </c>
      <c r="F83" s="96" t="s">
        <v>401</v>
      </c>
      <c r="G83" s="109">
        <f>500+110+69</f>
        <v>679</v>
      </c>
      <c r="H83" s="109">
        <v>679</v>
      </c>
      <c r="I83" s="469"/>
    </row>
    <row r="84" spans="1:9" s="92" customFormat="1" ht="47.25">
      <c r="A84" s="625" t="s">
        <v>1228</v>
      </c>
      <c r="B84" s="191">
        <v>934</v>
      </c>
      <c r="C84" s="184" t="s">
        <v>210</v>
      </c>
      <c r="D84" s="184" t="s">
        <v>219</v>
      </c>
      <c r="E84" s="184" t="s">
        <v>551</v>
      </c>
      <c r="F84" s="184"/>
      <c r="G84" s="193">
        <f>G85</f>
        <v>1895.088</v>
      </c>
      <c r="H84" s="193">
        <f>H85</f>
        <v>1895.088</v>
      </c>
      <c r="I84" s="469"/>
    </row>
    <row r="85" spans="1:9" s="92" customFormat="1" ht="47.25">
      <c r="A85" s="221" t="s">
        <v>863</v>
      </c>
      <c r="B85" s="98">
        <v>934</v>
      </c>
      <c r="C85" s="96" t="s">
        <v>210</v>
      </c>
      <c r="D85" s="96" t="s">
        <v>219</v>
      </c>
      <c r="E85" s="96" t="s">
        <v>551</v>
      </c>
      <c r="F85" s="96"/>
      <c r="G85" s="109">
        <f>G86</f>
        <v>1895.088</v>
      </c>
      <c r="H85" s="109">
        <f>H86</f>
        <v>1895.088</v>
      </c>
      <c r="I85" s="469"/>
    </row>
    <row r="86" spans="1:9" s="92" customFormat="1">
      <c r="A86" s="76" t="s">
        <v>403</v>
      </c>
      <c r="B86" s="98">
        <v>934</v>
      </c>
      <c r="C86" s="96" t="s">
        <v>210</v>
      </c>
      <c r="D86" s="96" t="s">
        <v>219</v>
      </c>
      <c r="E86" s="96" t="s">
        <v>1227</v>
      </c>
      <c r="F86" s="96" t="s">
        <v>1208</v>
      </c>
      <c r="G86" s="109">
        <f>698.03+1197.058</f>
        <v>1895.088</v>
      </c>
      <c r="H86" s="109">
        <v>1895.088</v>
      </c>
      <c r="I86" s="469"/>
    </row>
    <row r="87" spans="1:9" s="156" customFormat="1">
      <c r="A87" s="77" t="s">
        <v>137</v>
      </c>
      <c r="B87" s="97">
        <v>934</v>
      </c>
      <c r="C87" s="95" t="s">
        <v>210</v>
      </c>
      <c r="D87" s="95" t="s">
        <v>220</v>
      </c>
      <c r="E87" s="230" t="s">
        <v>540</v>
      </c>
      <c r="F87" s="111"/>
      <c r="G87" s="108">
        <f>G93</f>
        <v>6.1</v>
      </c>
      <c r="H87" s="108">
        <f>H93</f>
        <v>5.5</v>
      </c>
      <c r="I87" s="469"/>
    </row>
    <row r="88" spans="1:9" s="156" customFormat="1">
      <c r="A88" s="80" t="s">
        <v>145</v>
      </c>
      <c r="B88" s="102">
        <v>934</v>
      </c>
      <c r="C88" s="103" t="s">
        <v>210</v>
      </c>
      <c r="D88" s="103" t="s">
        <v>220</v>
      </c>
      <c r="E88" s="336"/>
      <c r="F88" s="490"/>
      <c r="G88" s="122">
        <f t="shared" ref="G88:H92" si="3">G89</f>
        <v>6.1</v>
      </c>
      <c r="H88" s="122">
        <f t="shared" si="3"/>
        <v>5.5</v>
      </c>
      <c r="I88" s="469"/>
    </row>
    <row r="89" spans="1:9" s="156" customFormat="1" ht="47.25">
      <c r="A89" s="625" t="s">
        <v>1236</v>
      </c>
      <c r="B89" s="859">
        <v>934</v>
      </c>
      <c r="C89" s="634" t="s">
        <v>210</v>
      </c>
      <c r="D89" s="634" t="s">
        <v>220</v>
      </c>
      <c r="E89" s="634" t="s">
        <v>1249</v>
      </c>
      <c r="F89" s="862"/>
      <c r="G89" s="460">
        <f t="shared" si="3"/>
        <v>6.1</v>
      </c>
      <c r="H89" s="460">
        <f t="shared" si="3"/>
        <v>5.5</v>
      </c>
      <c r="I89" s="469"/>
    </row>
    <row r="90" spans="1:9" s="156" customFormat="1" ht="31.5">
      <c r="A90" s="829" t="s">
        <v>1248</v>
      </c>
      <c r="B90" s="102">
        <v>934</v>
      </c>
      <c r="C90" s="103" t="s">
        <v>210</v>
      </c>
      <c r="D90" s="103" t="s">
        <v>220</v>
      </c>
      <c r="E90" s="336" t="s">
        <v>1266</v>
      </c>
      <c r="F90" s="490"/>
      <c r="G90" s="122">
        <f t="shared" si="3"/>
        <v>6.1</v>
      </c>
      <c r="H90" s="122">
        <f t="shared" si="3"/>
        <v>5.5</v>
      </c>
      <c r="I90" s="469"/>
    </row>
    <row r="91" spans="1:9" s="156" customFormat="1" ht="47.25">
      <c r="A91" s="575" t="s">
        <v>1245</v>
      </c>
      <c r="B91" s="102">
        <v>934</v>
      </c>
      <c r="C91" s="103" t="s">
        <v>210</v>
      </c>
      <c r="D91" s="103" t="s">
        <v>220</v>
      </c>
      <c r="E91" s="103" t="s">
        <v>1244</v>
      </c>
      <c r="F91" s="490"/>
      <c r="G91" s="122">
        <f t="shared" si="3"/>
        <v>6.1</v>
      </c>
      <c r="H91" s="122">
        <f t="shared" si="3"/>
        <v>5.5</v>
      </c>
      <c r="I91" s="469"/>
    </row>
    <row r="92" spans="1:9" s="156" customFormat="1" ht="47.25">
      <c r="A92" s="76" t="s">
        <v>603</v>
      </c>
      <c r="B92" s="98">
        <v>934</v>
      </c>
      <c r="C92" s="96" t="s">
        <v>210</v>
      </c>
      <c r="D92" s="96" t="s">
        <v>220</v>
      </c>
      <c r="E92" s="149" t="s">
        <v>1250</v>
      </c>
      <c r="F92" s="423"/>
      <c r="G92" s="148">
        <f t="shared" si="3"/>
        <v>6.1</v>
      </c>
      <c r="H92" s="148">
        <f t="shared" si="3"/>
        <v>5.5</v>
      </c>
      <c r="I92" s="469"/>
    </row>
    <row r="93" spans="1:9" ht="31.5">
      <c r="A93" s="152" t="s">
        <v>267</v>
      </c>
      <c r="B93" s="98">
        <v>934</v>
      </c>
      <c r="C93" s="96" t="s">
        <v>210</v>
      </c>
      <c r="D93" s="96" t="s">
        <v>220</v>
      </c>
      <c r="E93" s="149" t="s">
        <v>1250</v>
      </c>
      <c r="F93" s="423">
        <v>244</v>
      </c>
      <c r="G93" s="148">
        <v>6.1</v>
      </c>
      <c r="H93" s="109">
        <v>5.5</v>
      </c>
      <c r="I93" s="469"/>
    </row>
    <row r="94" spans="1:9" s="91" customFormat="1">
      <c r="A94" s="79" t="s">
        <v>228</v>
      </c>
      <c r="B94" s="105">
        <v>934</v>
      </c>
      <c r="C94" s="106" t="s">
        <v>210</v>
      </c>
      <c r="D94" s="106" t="s">
        <v>218</v>
      </c>
      <c r="E94" s="103"/>
      <c r="F94" s="106"/>
      <c r="G94" s="107">
        <f>G95</f>
        <v>500</v>
      </c>
      <c r="H94" s="107">
        <f>H95</f>
        <v>500</v>
      </c>
      <c r="I94" s="469"/>
    </row>
    <row r="95" spans="1:9" s="91" customFormat="1">
      <c r="A95" s="77" t="s">
        <v>197</v>
      </c>
      <c r="B95" s="97">
        <v>934</v>
      </c>
      <c r="C95" s="95" t="s">
        <v>210</v>
      </c>
      <c r="D95" s="95" t="s">
        <v>218</v>
      </c>
      <c r="E95" s="96" t="s">
        <v>505</v>
      </c>
      <c r="F95" s="95"/>
      <c r="G95" s="108">
        <f>G96</f>
        <v>500</v>
      </c>
      <c r="H95" s="108">
        <f>H96</f>
        <v>500</v>
      </c>
      <c r="I95" s="469"/>
    </row>
    <row r="96" spans="1:9">
      <c r="A96" s="76" t="s">
        <v>37</v>
      </c>
      <c r="B96" s="98">
        <v>934</v>
      </c>
      <c r="C96" s="96" t="s">
        <v>210</v>
      </c>
      <c r="D96" s="96" t="s">
        <v>218</v>
      </c>
      <c r="E96" s="96" t="s">
        <v>505</v>
      </c>
      <c r="F96" s="96" t="s">
        <v>404</v>
      </c>
      <c r="G96" s="109">
        <v>500</v>
      </c>
      <c r="H96" s="109">
        <v>500</v>
      </c>
      <c r="I96" s="469"/>
    </row>
    <row r="97" spans="1:10" s="92" customFormat="1" ht="15" customHeight="1">
      <c r="A97" s="79" t="s">
        <v>225</v>
      </c>
      <c r="B97" s="105">
        <v>934</v>
      </c>
      <c r="C97" s="106" t="s">
        <v>210</v>
      </c>
      <c r="D97" s="106" t="s">
        <v>236</v>
      </c>
      <c r="E97" s="103"/>
      <c r="F97" s="106"/>
      <c r="G97" s="107">
        <f>G98+G108</f>
        <v>32266.6</v>
      </c>
      <c r="H97" s="107">
        <f>H98+H108</f>
        <v>32266.6</v>
      </c>
      <c r="I97" s="469"/>
      <c r="J97" s="212"/>
    </row>
    <row r="98" spans="1:10" ht="47.25">
      <c r="A98" s="625" t="s">
        <v>1236</v>
      </c>
      <c r="B98" s="859">
        <v>934</v>
      </c>
      <c r="C98" s="634" t="s">
        <v>210</v>
      </c>
      <c r="D98" s="634" t="s">
        <v>236</v>
      </c>
      <c r="E98" s="634" t="s">
        <v>1249</v>
      </c>
      <c r="F98" s="183"/>
      <c r="G98" s="185">
        <f>G99+G105+G108</f>
        <v>30862.1</v>
      </c>
      <c r="H98" s="185">
        <f>H99+H105+H108</f>
        <v>30862.1</v>
      </c>
      <c r="I98" s="469"/>
    </row>
    <row r="99" spans="1:10" ht="31.5">
      <c r="A99" s="736" t="s">
        <v>1248</v>
      </c>
      <c r="B99" s="860">
        <v>934</v>
      </c>
      <c r="C99" s="737" t="s">
        <v>210</v>
      </c>
      <c r="D99" s="737" t="s">
        <v>236</v>
      </c>
      <c r="E99" s="737" t="s">
        <v>1266</v>
      </c>
      <c r="F99" s="180"/>
      <c r="G99" s="181">
        <f>G100</f>
        <v>332</v>
      </c>
      <c r="H99" s="181">
        <f>H100</f>
        <v>332</v>
      </c>
      <c r="I99" s="469"/>
    </row>
    <row r="100" spans="1:10" ht="47.25">
      <c r="A100" s="829" t="s">
        <v>1237</v>
      </c>
      <c r="B100" s="180" t="s">
        <v>198</v>
      </c>
      <c r="C100" s="180" t="s">
        <v>210</v>
      </c>
      <c r="D100" s="180" t="s">
        <v>236</v>
      </c>
      <c r="E100" s="180" t="s">
        <v>1242</v>
      </c>
      <c r="F100" s="180"/>
      <c r="G100" s="181">
        <f>G101+G103</f>
        <v>332</v>
      </c>
      <c r="H100" s="181">
        <f>H101+H103</f>
        <v>332</v>
      </c>
      <c r="I100" s="469"/>
    </row>
    <row r="101" spans="1:10" ht="47.25">
      <c r="A101" s="421" t="s">
        <v>794</v>
      </c>
      <c r="B101" s="95" t="s">
        <v>198</v>
      </c>
      <c r="C101" s="95" t="s">
        <v>210</v>
      </c>
      <c r="D101" s="95" t="s">
        <v>236</v>
      </c>
      <c r="E101" s="149" t="s">
        <v>1268</v>
      </c>
      <c r="F101" s="158"/>
      <c r="G101" s="121">
        <f>G102</f>
        <v>166</v>
      </c>
      <c r="H101" s="121">
        <f>H102</f>
        <v>166</v>
      </c>
      <c r="I101" s="469"/>
    </row>
    <row r="102" spans="1:10" ht="31.5">
      <c r="A102" s="152" t="s">
        <v>267</v>
      </c>
      <c r="B102" s="96" t="s">
        <v>198</v>
      </c>
      <c r="C102" s="96" t="s">
        <v>210</v>
      </c>
      <c r="D102" s="96" t="s">
        <v>236</v>
      </c>
      <c r="E102" s="149" t="s">
        <v>1268</v>
      </c>
      <c r="F102" s="96" t="s">
        <v>401</v>
      </c>
      <c r="G102" s="109">
        <v>166</v>
      </c>
      <c r="H102" s="109">
        <v>166</v>
      </c>
      <c r="I102" s="469"/>
    </row>
    <row r="103" spans="1:10" ht="47.25">
      <c r="A103" s="421" t="s">
        <v>669</v>
      </c>
      <c r="B103" s="158" t="s">
        <v>198</v>
      </c>
      <c r="C103" s="158" t="s">
        <v>210</v>
      </c>
      <c r="D103" s="158" t="s">
        <v>236</v>
      </c>
      <c r="E103" s="149" t="s">
        <v>1268</v>
      </c>
      <c r="F103" s="158"/>
      <c r="G103" s="121">
        <f>G104</f>
        <v>166</v>
      </c>
      <c r="H103" s="121">
        <f>H104</f>
        <v>166</v>
      </c>
      <c r="I103" s="469"/>
    </row>
    <row r="104" spans="1:10" ht="31.5">
      <c r="A104" s="152" t="s">
        <v>267</v>
      </c>
      <c r="B104" s="96" t="s">
        <v>198</v>
      </c>
      <c r="C104" s="96" t="s">
        <v>210</v>
      </c>
      <c r="D104" s="96" t="s">
        <v>236</v>
      </c>
      <c r="E104" s="149" t="s">
        <v>1268</v>
      </c>
      <c r="F104" s="96" t="s">
        <v>401</v>
      </c>
      <c r="G104" s="109">
        <v>166</v>
      </c>
      <c r="H104" s="109">
        <v>166</v>
      </c>
      <c r="I104" s="469"/>
    </row>
    <row r="105" spans="1:10" ht="31.5">
      <c r="A105" s="188" t="s">
        <v>1238</v>
      </c>
      <c r="B105" s="189">
        <v>934</v>
      </c>
      <c r="C105" s="180" t="s">
        <v>210</v>
      </c>
      <c r="D105" s="180" t="s">
        <v>236</v>
      </c>
      <c r="E105" s="186" t="s">
        <v>1264</v>
      </c>
      <c r="F105" s="180"/>
      <c r="G105" s="181">
        <f>G106</f>
        <v>29125.599999999999</v>
      </c>
      <c r="H105" s="181">
        <f>H106</f>
        <v>29125.599999999999</v>
      </c>
      <c r="I105" s="469"/>
    </row>
    <row r="106" spans="1:10" ht="46.5" customHeight="1">
      <c r="A106" s="221" t="s">
        <v>932</v>
      </c>
      <c r="B106" s="340">
        <v>934</v>
      </c>
      <c r="C106" s="200" t="s">
        <v>210</v>
      </c>
      <c r="D106" s="200" t="s">
        <v>236</v>
      </c>
      <c r="E106" s="204" t="s">
        <v>1265</v>
      </c>
      <c r="F106" s="200"/>
      <c r="G106" s="201">
        <f>G107</f>
        <v>29125.599999999999</v>
      </c>
      <c r="H106" s="199">
        <f>H107</f>
        <v>29125.599999999999</v>
      </c>
      <c r="I106" s="469"/>
    </row>
    <row r="107" spans="1:10" ht="47.25">
      <c r="A107" s="76" t="s">
        <v>262</v>
      </c>
      <c r="B107" s="153">
        <v>934</v>
      </c>
      <c r="C107" s="96" t="s">
        <v>210</v>
      </c>
      <c r="D107" s="96" t="s">
        <v>236</v>
      </c>
      <c r="E107" s="204" t="s">
        <v>1265</v>
      </c>
      <c r="F107" s="96" t="s">
        <v>408</v>
      </c>
      <c r="G107" s="109">
        <v>29125.599999999999</v>
      </c>
      <c r="H107" s="109">
        <v>29125.599999999999</v>
      </c>
      <c r="I107" s="469"/>
    </row>
    <row r="108" spans="1:10" ht="47.25">
      <c r="A108" s="861" t="s">
        <v>1245</v>
      </c>
      <c r="B108" s="186" t="s">
        <v>198</v>
      </c>
      <c r="C108" s="186" t="s">
        <v>210</v>
      </c>
      <c r="D108" s="186" t="s">
        <v>236</v>
      </c>
      <c r="E108" s="737" t="s">
        <v>1244</v>
      </c>
      <c r="F108" s="186"/>
      <c r="G108" s="194">
        <f>G109+G113+G118</f>
        <v>1404.5</v>
      </c>
      <c r="H108" s="194">
        <f>H109+H113+H118</f>
        <v>1404.5</v>
      </c>
      <c r="I108" s="469"/>
    </row>
    <row r="109" spans="1:10" s="156" customFormat="1" ht="31.5">
      <c r="A109" s="77" t="s">
        <v>421</v>
      </c>
      <c r="B109" s="95">
        <v>934</v>
      </c>
      <c r="C109" s="95" t="s">
        <v>210</v>
      </c>
      <c r="D109" s="95" t="s">
        <v>236</v>
      </c>
      <c r="E109" s="96" t="s">
        <v>1251</v>
      </c>
      <c r="F109" s="95"/>
      <c r="G109" s="108">
        <f>G110+G111+G112</f>
        <v>230.5</v>
      </c>
      <c r="H109" s="108">
        <f>H110+H111+H112</f>
        <v>230.5</v>
      </c>
      <c r="I109" s="538">
        <f>G109</f>
        <v>230.5</v>
      </c>
      <c r="J109" s="595">
        <f>H109</f>
        <v>230.5</v>
      </c>
    </row>
    <row r="110" spans="1:10">
      <c r="A110" s="76" t="s">
        <v>415</v>
      </c>
      <c r="B110" s="96">
        <v>934</v>
      </c>
      <c r="C110" s="96" t="s">
        <v>210</v>
      </c>
      <c r="D110" s="96" t="s">
        <v>236</v>
      </c>
      <c r="E110" s="96" t="s">
        <v>1251</v>
      </c>
      <c r="F110" s="96" t="s">
        <v>400</v>
      </c>
      <c r="G110" s="109">
        <v>143.85561000000001</v>
      </c>
      <c r="H110" s="109">
        <f>G110</f>
        <v>143.85561000000001</v>
      </c>
      <c r="I110" s="469"/>
    </row>
    <row r="111" spans="1:10" ht="47.25">
      <c r="A111" s="195" t="s">
        <v>416</v>
      </c>
      <c r="B111" s="96">
        <v>934</v>
      </c>
      <c r="C111" s="96" t="s">
        <v>210</v>
      </c>
      <c r="D111" s="96" t="s">
        <v>236</v>
      </c>
      <c r="E111" s="96" t="s">
        <v>1251</v>
      </c>
      <c r="F111" s="96" t="s">
        <v>417</v>
      </c>
      <c r="G111" s="109">
        <v>43.444389999999999</v>
      </c>
      <c r="H111" s="109">
        <f>G111</f>
        <v>43.444389999999999</v>
      </c>
      <c r="I111" s="469"/>
    </row>
    <row r="112" spans="1:10" ht="31.5">
      <c r="A112" s="152" t="s">
        <v>267</v>
      </c>
      <c r="B112" s="96">
        <v>934</v>
      </c>
      <c r="C112" s="96" t="s">
        <v>210</v>
      </c>
      <c r="D112" s="96" t="s">
        <v>236</v>
      </c>
      <c r="E112" s="96" t="s">
        <v>1251</v>
      </c>
      <c r="F112" s="96" t="s">
        <v>401</v>
      </c>
      <c r="G112" s="109">
        <v>43.2</v>
      </c>
      <c r="H112" s="109">
        <f>G112</f>
        <v>43.2</v>
      </c>
      <c r="I112" s="469"/>
    </row>
    <row r="113" spans="1:10" s="91" customFormat="1" ht="47.25">
      <c r="A113" s="77" t="s">
        <v>50</v>
      </c>
      <c r="B113" s="95">
        <v>934</v>
      </c>
      <c r="C113" s="95" t="s">
        <v>210</v>
      </c>
      <c r="D113" s="95" t="s">
        <v>236</v>
      </c>
      <c r="E113" s="96" t="s">
        <v>1252</v>
      </c>
      <c r="F113" s="95"/>
      <c r="G113" s="108">
        <f>G114+G115+G116+G117</f>
        <v>894</v>
      </c>
      <c r="H113" s="108">
        <f>H114+H115+H116+H117</f>
        <v>894</v>
      </c>
      <c r="I113" s="538">
        <f>G113</f>
        <v>894</v>
      </c>
      <c r="J113" s="596">
        <f>H113</f>
        <v>894</v>
      </c>
    </row>
    <row r="114" spans="1:10">
      <c r="A114" s="76" t="s">
        <v>415</v>
      </c>
      <c r="B114" s="96">
        <v>934</v>
      </c>
      <c r="C114" s="96" t="s">
        <v>210</v>
      </c>
      <c r="D114" s="96" t="s">
        <v>236</v>
      </c>
      <c r="E114" s="96" t="s">
        <v>1252</v>
      </c>
      <c r="F114" s="96" t="s">
        <v>400</v>
      </c>
      <c r="G114" s="109">
        <v>615.66840000000002</v>
      </c>
      <c r="H114" s="109">
        <f>G114</f>
        <v>615.66840000000002</v>
      </c>
      <c r="I114" s="469"/>
    </row>
    <row r="115" spans="1:10" ht="31.5">
      <c r="A115" s="76" t="s">
        <v>10</v>
      </c>
      <c r="B115" s="96">
        <v>934</v>
      </c>
      <c r="C115" s="96" t="s">
        <v>210</v>
      </c>
      <c r="D115" s="96" t="s">
        <v>236</v>
      </c>
      <c r="E115" s="96" t="s">
        <v>1252</v>
      </c>
      <c r="F115" s="96" t="s">
        <v>405</v>
      </c>
      <c r="G115" s="109">
        <v>8.23</v>
      </c>
      <c r="H115" s="109">
        <f>G115</f>
        <v>8.23</v>
      </c>
      <c r="I115" s="469"/>
    </row>
    <row r="116" spans="1:10" ht="47.25">
      <c r="A116" s="195" t="s">
        <v>416</v>
      </c>
      <c r="B116" s="96">
        <v>934</v>
      </c>
      <c r="C116" s="96" t="s">
        <v>210</v>
      </c>
      <c r="D116" s="96" t="s">
        <v>236</v>
      </c>
      <c r="E116" s="96" t="s">
        <v>1252</v>
      </c>
      <c r="F116" s="96" t="s">
        <v>417</v>
      </c>
      <c r="G116" s="109">
        <v>185.9316</v>
      </c>
      <c r="H116" s="109">
        <f>G116</f>
        <v>185.9316</v>
      </c>
      <c r="I116" s="469"/>
    </row>
    <row r="117" spans="1:10" ht="31.5">
      <c r="A117" s="152" t="s">
        <v>267</v>
      </c>
      <c r="B117" s="96">
        <v>934</v>
      </c>
      <c r="C117" s="96" t="s">
        <v>210</v>
      </c>
      <c r="D117" s="96" t="s">
        <v>236</v>
      </c>
      <c r="E117" s="96" t="s">
        <v>1252</v>
      </c>
      <c r="F117" s="96" t="s">
        <v>401</v>
      </c>
      <c r="G117" s="109">
        <v>84.17</v>
      </c>
      <c r="H117" s="109">
        <f>G117</f>
        <v>84.17</v>
      </c>
      <c r="I117" s="469"/>
    </row>
    <row r="118" spans="1:10" s="159" customFormat="1" ht="34.5" customHeight="1">
      <c r="A118" s="157" t="s">
        <v>54</v>
      </c>
      <c r="B118" s="158">
        <v>934</v>
      </c>
      <c r="C118" s="158" t="s">
        <v>210</v>
      </c>
      <c r="D118" s="158" t="s">
        <v>236</v>
      </c>
      <c r="E118" s="158" t="s">
        <v>1269</v>
      </c>
      <c r="F118" s="158"/>
      <c r="G118" s="121">
        <f>G119+G120+G121</f>
        <v>280</v>
      </c>
      <c r="H118" s="121">
        <f>H119+H120+H121</f>
        <v>280</v>
      </c>
      <c r="I118" s="538">
        <f>G118</f>
        <v>280</v>
      </c>
      <c r="J118" s="597">
        <f>H118</f>
        <v>280</v>
      </c>
    </row>
    <row r="119" spans="1:10">
      <c r="A119" s="76" t="s">
        <v>415</v>
      </c>
      <c r="B119" s="96">
        <v>934</v>
      </c>
      <c r="C119" s="96" t="s">
        <v>210</v>
      </c>
      <c r="D119" s="96" t="s">
        <v>236</v>
      </c>
      <c r="E119" s="158" t="s">
        <v>1269</v>
      </c>
      <c r="F119" s="96" t="s">
        <v>400</v>
      </c>
      <c r="G119" s="109">
        <v>179.56238999999999</v>
      </c>
      <c r="H119" s="109">
        <f>G119</f>
        <v>179.56238999999999</v>
      </c>
      <c r="I119" s="469"/>
    </row>
    <row r="120" spans="1:10" ht="47.25">
      <c r="A120" s="195" t="s">
        <v>416</v>
      </c>
      <c r="B120" s="96">
        <v>934</v>
      </c>
      <c r="C120" s="96" t="s">
        <v>210</v>
      </c>
      <c r="D120" s="96" t="s">
        <v>236</v>
      </c>
      <c r="E120" s="158" t="s">
        <v>1269</v>
      </c>
      <c r="F120" s="96" t="s">
        <v>417</v>
      </c>
      <c r="G120" s="109">
        <v>54.227609999999999</v>
      </c>
      <c r="H120" s="109">
        <f>G120</f>
        <v>54.227609999999999</v>
      </c>
      <c r="I120" s="469"/>
    </row>
    <row r="121" spans="1:10" ht="30" customHeight="1">
      <c r="A121" s="152" t="s">
        <v>267</v>
      </c>
      <c r="B121" s="96">
        <v>934</v>
      </c>
      <c r="C121" s="96" t="s">
        <v>210</v>
      </c>
      <c r="D121" s="96" t="s">
        <v>236</v>
      </c>
      <c r="E121" s="158" t="s">
        <v>1269</v>
      </c>
      <c r="F121" s="96" t="s">
        <v>401</v>
      </c>
      <c r="G121" s="109">
        <v>46.21</v>
      </c>
      <c r="H121" s="109">
        <f>G121</f>
        <v>46.21</v>
      </c>
      <c r="I121" s="469"/>
    </row>
    <row r="122" spans="1:10" s="92" customFormat="1">
      <c r="A122" s="80" t="s">
        <v>229</v>
      </c>
      <c r="B122" s="102">
        <v>934</v>
      </c>
      <c r="C122" s="103" t="s">
        <v>213</v>
      </c>
      <c r="D122" s="103"/>
      <c r="E122" s="103"/>
      <c r="F122" s="103"/>
      <c r="G122" s="104">
        <f>G123</f>
        <v>2600</v>
      </c>
      <c r="H122" s="104">
        <f>H123</f>
        <v>0</v>
      </c>
      <c r="I122" s="469"/>
    </row>
    <row r="123" spans="1:10" s="91" customFormat="1" ht="31.5">
      <c r="A123" s="79" t="s">
        <v>230</v>
      </c>
      <c r="B123" s="105">
        <v>934</v>
      </c>
      <c r="C123" s="106" t="s">
        <v>213</v>
      </c>
      <c r="D123" s="106" t="s">
        <v>214</v>
      </c>
      <c r="E123" s="103"/>
      <c r="F123" s="106"/>
      <c r="G123" s="107">
        <f>G124+G127</f>
        <v>2600</v>
      </c>
      <c r="H123" s="107">
        <f>H124+H127</f>
        <v>0</v>
      </c>
      <c r="I123" s="469"/>
    </row>
    <row r="124" spans="1:10" s="91" customFormat="1" ht="31.5">
      <c r="A124" s="635" t="s">
        <v>779</v>
      </c>
      <c r="B124" s="182">
        <v>934</v>
      </c>
      <c r="C124" s="183" t="s">
        <v>213</v>
      </c>
      <c r="D124" s="183" t="s">
        <v>214</v>
      </c>
      <c r="E124" s="183" t="s">
        <v>508</v>
      </c>
      <c r="F124" s="183"/>
      <c r="G124" s="185">
        <f>G125</f>
        <v>2500</v>
      </c>
      <c r="H124" s="185">
        <f>H125</f>
        <v>0</v>
      </c>
      <c r="I124" s="469"/>
    </row>
    <row r="125" spans="1:10" s="91" customFormat="1" ht="31.5">
      <c r="A125" s="221" t="s">
        <v>870</v>
      </c>
      <c r="B125" s="340">
        <v>934</v>
      </c>
      <c r="C125" s="200" t="s">
        <v>213</v>
      </c>
      <c r="D125" s="200" t="s">
        <v>214</v>
      </c>
      <c r="E125" s="200" t="s">
        <v>508</v>
      </c>
      <c r="F125" s="344"/>
      <c r="G125" s="222">
        <f>G126</f>
        <v>2500</v>
      </c>
      <c r="H125" s="222">
        <f>H126</f>
        <v>0</v>
      </c>
      <c r="I125" s="469"/>
    </row>
    <row r="126" spans="1:10" s="91" customFormat="1" ht="31.5">
      <c r="A126" s="152" t="s">
        <v>267</v>
      </c>
      <c r="B126" s="98">
        <v>934</v>
      </c>
      <c r="C126" s="95" t="s">
        <v>213</v>
      </c>
      <c r="D126" s="95" t="s">
        <v>214</v>
      </c>
      <c r="E126" s="149" t="s">
        <v>508</v>
      </c>
      <c r="F126" s="96" t="s">
        <v>401</v>
      </c>
      <c r="G126" s="109">
        <v>2500</v>
      </c>
      <c r="H126" s="109">
        <v>0</v>
      </c>
      <c r="I126" s="469"/>
    </row>
    <row r="127" spans="1:10" ht="31.5">
      <c r="A127" s="422" t="s">
        <v>430</v>
      </c>
      <c r="B127" s="97">
        <v>934</v>
      </c>
      <c r="C127" s="95" t="s">
        <v>213</v>
      </c>
      <c r="D127" s="95" t="s">
        <v>214</v>
      </c>
      <c r="E127" s="95" t="s">
        <v>534</v>
      </c>
      <c r="F127" s="458"/>
      <c r="G127" s="459">
        <f>G128</f>
        <v>100</v>
      </c>
      <c r="H127" s="459">
        <f>H128</f>
        <v>0</v>
      </c>
      <c r="I127" s="469"/>
    </row>
    <row r="128" spans="1:10" ht="31.5">
      <c r="A128" s="152" t="s">
        <v>267</v>
      </c>
      <c r="B128" s="98">
        <v>934</v>
      </c>
      <c r="C128" s="95" t="s">
        <v>213</v>
      </c>
      <c r="D128" s="95" t="s">
        <v>214</v>
      </c>
      <c r="E128" s="96" t="s">
        <v>534</v>
      </c>
      <c r="F128" s="96" t="s">
        <v>401</v>
      </c>
      <c r="G128" s="109">
        <v>100</v>
      </c>
      <c r="H128" s="109">
        <v>0</v>
      </c>
      <c r="I128" s="469"/>
    </row>
    <row r="129" spans="1:9" s="92" customFormat="1">
      <c r="A129" s="334" t="s">
        <v>411</v>
      </c>
      <c r="B129" s="335">
        <v>934</v>
      </c>
      <c r="C129" s="336" t="s">
        <v>219</v>
      </c>
      <c r="D129" s="336"/>
      <c r="E129" s="336"/>
      <c r="F129" s="336"/>
      <c r="G129" s="122">
        <f>G130+G163+G160</f>
        <v>3117.9999999999995</v>
      </c>
      <c r="H129" s="122">
        <f>H130+H163</f>
        <v>2796.2999999999997</v>
      </c>
      <c r="I129" s="469"/>
    </row>
    <row r="130" spans="1:9" s="91" customFormat="1">
      <c r="A130" s="79" t="s">
        <v>227</v>
      </c>
      <c r="B130" s="106" t="s">
        <v>198</v>
      </c>
      <c r="C130" s="106" t="s">
        <v>219</v>
      </c>
      <c r="D130" s="106" t="s">
        <v>220</v>
      </c>
      <c r="E130" s="103"/>
      <c r="F130" s="106"/>
      <c r="G130" s="107">
        <f>G131+G143</f>
        <v>2194.9999999999995</v>
      </c>
      <c r="H130" s="107">
        <f>H143</f>
        <v>1873.2999999999997</v>
      </c>
      <c r="I130" s="469"/>
    </row>
    <row r="131" spans="1:9" s="91" customFormat="1" ht="31.5">
      <c r="A131" s="614" t="s">
        <v>779</v>
      </c>
      <c r="B131" s="191">
        <v>934</v>
      </c>
      <c r="C131" s="184" t="s">
        <v>219</v>
      </c>
      <c r="D131" s="184" t="s">
        <v>220</v>
      </c>
      <c r="E131" s="184" t="s">
        <v>847</v>
      </c>
      <c r="F131" s="183"/>
      <c r="G131" s="193">
        <f>G132</f>
        <v>1873.2999999999997</v>
      </c>
      <c r="H131" s="107">
        <v>0</v>
      </c>
      <c r="I131" s="469"/>
    </row>
    <row r="132" spans="1:9" s="91" customFormat="1" ht="25.5">
      <c r="A132" s="828" t="s">
        <v>1028</v>
      </c>
      <c r="B132" s="191">
        <v>934</v>
      </c>
      <c r="C132" s="184" t="s">
        <v>219</v>
      </c>
      <c r="D132" s="184" t="s">
        <v>220</v>
      </c>
      <c r="E132" s="184" t="s">
        <v>1218</v>
      </c>
      <c r="F132" s="183"/>
      <c r="G132" s="193">
        <f>G133+G135+G138+G140</f>
        <v>1873.2999999999997</v>
      </c>
      <c r="H132" s="107">
        <v>0</v>
      </c>
      <c r="I132" s="469"/>
    </row>
    <row r="133" spans="1:9" s="91" customFormat="1" ht="31.5">
      <c r="A133" s="74" t="s">
        <v>536</v>
      </c>
      <c r="B133" s="97">
        <v>934</v>
      </c>
      <c r="C133" s="95" t="s">
        <v>219</v>
      </c>
      <c r="D133" s="95" t="s">
        <v>220</v>
      </c>
      <c r="E133" s="158" t="s">
        <v>1200</v>
      </c>
      <c r="F133" s="111"/>
      <c r="G133" s="108">
        <f>G134</f>
        <v>1674.6</v>
      </c>
      <c r="H133" s="109">
        <v>0</v>
      </c>
      <c r="I133" s="469"/>
    </row>
    <row r="134" spans="1:9" s="91" customFormat="1" ht="31.5">
      <c r="A134" s="152" t="s">
        <v>267</v>
      </c>
      <c r="B134" s="98">
        <v>934</v>
      </c>
      <c r="C134" s="96" t="s">
        <v>219</v>
      </c>
      <c r="D134" s="96" t="s">
        <v>220</v>
      </c>
      <c r="E134" s="149" t="s">
        <v>1200</v>
      </c>
      <c r="F134" s="110">
        <v>244</v>
      </c>
      <c r="G134" s="109">
        <v>1674.6</v>
      </c>
      <c r="H134" s="109">
        <v>0</v>
      </c>
      <c r="I134" s="469"/>
    </row>
    <row r="135" spans="1:9" s="91" customFormat="1" ht="31.5">
      <c r="A135" s="74" t="s">
        <v>544</v>
      </c>
      <c r="B135" s="97">
        <v>934</v>
      </c>
      <c r="C135" s="95" t="s">
        <v>219</v>
      </c>
      <c r="D135" s="95" t="s">
        <v>220</v>
      </c>
      <c r="E135" s="149" t="s">
        <v>1201</v>
      </c>
      <c r="F135" s="111"/>
      <c r="G135" s="108">
        <f>G136+G137</f>
        <v>25.1</v>
      </c>
      <c r="H135" s="109">
        <v>0</v>
      </c>
      <c r="I135" s="469"/>
    </row>
    <row r="136" spans="1:9" s="91" customFormat="1">
      <c r="A136" s="76" t="s">
        <v>415</v>
      </c>
      <c r="B136" s="96">
        <v>934</v>
      </c>
      <c r="C136" s="96" t="s">
        <v>219</v>
      </c>
      <c r="D136" s="96" t="s">
        <v>220</v>
      </c>
      <c r="E136" s="149" t="s">
        <v>1201</v>
      </c>
      <c r="F136" s="96" t="s">
        <v>400</v>
      </c>
      <c r="G136" s="109">
        <v>19.278030000000001</v>
      </c>
      <c r="H136" s="109">
        <v>0</v>
      </c>
      <c r="I136" s="469"/>
    </row>
    <row r="137" spans="1:9" s="91" customFormat="1" ht="47.25">
      <c r="A137" s="195" t="s">
        <v>416</v>
      </c>
      <c r="B137" s="96">
        <v>934</v>
      </c>
      <c r="C137" s="96" t="s">
        <v>219</v>
      </c>
      <c r="D137" s="96" t="s">
        <v>220</v>
      </c>
      <c r="E137" s="149" t="s">
        <v>1202</v>
      </c>
      <c r="F137" s="96" t="s">
        <v>417</v>
      </c>
      <c r="G137" s="109">
        <v>5.8219700000000003</v>
      </c>
      <c r="H137" s="109">
        <v>0</v>
      </c>
      <c r="I137" s="469"/>
    </row>
    <row r="138" spans="1:9" s="91" customFormat="1" ht="47.25">
      <c r="A138" s="239" t="s">
        <v>1082</v>
      </c>
      <c r="B138" s="153">
        <v>934</v>
      </c>
      <c r="C138" s="149" t="s">
        <v>219</v>
      </c>
      <c r="D138" s="149" t="s">
        <v>220</v>
      </c>
      <c r="E138" s="149" t="s">
        <v>1203</v>
      </c>
      <c r="F138" s="153"/>
      <c r="G138" s="148">
        <f>G139</f>
        <v>151</v>
      </c>
      <c r="H138" s="109">
        <v>0</v>
      </c>
      <c r="I138" s="469"/>
    </row>
    <row r="139" spans="1:9" s="91" customFormat="1" ht="31.5">
      <c r="A139" s="152" t="s">
        <v>267</v>
      </c>
      <c r="B139" s="153">
        <v>934</v>
      </c>
      <c r="C139" s="149" t="s">
        <v>219</v>
      </c>
      <c r="D139" s="149" t="s">
        <v>220</v>
      </c>
      <c r="E139" s="149" t="s">
        <v>1203</v>
      </c>
      <c r="F139" s="153">
        <v>244</v>
      </c>
      <c r="G139" s="148">
        <v>151</v>
      </c>
      <c r="H139" s="109">
        <v>0</v>
      </c>
      <c r="I139" s="469"/>
    </row>
    <row r="140" spans="1:9" s="91" customFormat="1" ht="47.25">
      <c r="A140" s="239" t="s">
        <v>1077</v>
      </c>
      <c r="B140" s="153">
        <v>934</v>
      </c>
      <c r="C140" s="149" t="s">
        <v>219</v>
      </c>
      <c r="D140" s="149" t="s">
        <v>220</v>
      </c>
      <c r="E140" s="149" t="s">
        <v>1204</v>
      </c>
      <c r="F140" s="153"/>
      <c r="G140" s="148">
        <f>G141+G142</f>
        <v>22.6</v>
      </c>
      <c r="H140" s="109">
        <v>0</v>
      </c>
      <c r="I140" s="469"/>
    </row>
    <row r="141" spans="1:9" s="91" customFormat="1">
      <c r="A141" s="76" t="s">
        <v>415</v>
      </c>
      <c r="B141" s="153">
        <v>934</v>
      </c>
      <c r="C141" s="149" t="s">
        <v>219</v>
      </c>
      <c r="D141" s="149" t="s">
        <v>220</v>
      </c>
      <c r="E141" s="149" t="s">
        <v>1204</v>
      </c>
      <c r="F141" s="153">
        <v>121</v>
      </c>
      <c r="G141" s="148">
        <v>17.35791</v>
      </c>
      <c r="H141" s="109">
        <v>0</v>
      </c>
      <c r="I141" s="469"/>
    </row>
    <row r="142" spans="1:9" s="91" customFormat="1" ht="47.25">
      <c r="A142" s="195" t="s">
        <v>416</v>
      </c>
      <c r="B142" s="153">
        <v>934</v>
      </c>
      <c r="C142" s="149" t="s">
        <v>219</v>
      </c>
      <c r="D142" s="149" t="s">
        <v>220</v>
      </c>
      <c r="E142" s="149" t="s">
        <v>1204</v>
      </c>
      <c r="F142" s="153">
        <v>129</v>
      </c>
      <c r="G142" s="148">
        <v>5.2420900000000001</v>
      </c>
      <c r="H142" s="109">
        <v>0</v>
      </c>
      <c r="I142" s="469"/>
    </row>
    <row r="143" spans="1:9" s="91" customFormat="1">
      <c r="A143" s="79" t="s">
        <v>113</v>
      </c>
      <c r="B143" s="106" t="s">
        <v>198</v>
      </c>
      <c r="C143" s="106" t="s">
        <v>219</v>
      </c>
      <c r="D143" s="106" t="s">
        <v>220</v>
      </c>
      <c r="E143" s="103" t="s">
        <v>1</v>
      </c>
      <c r="F143" s="106"/>
      <c r="G143" s="107">
        <f>G144</f>
        <v>321.7</v>
      </c>
      <c r="H143" s="107">
        <f>H144</f>
        <v>1873.2999999999997</v>
      </c>
      <c r="I143" s="469"/>
    </row>
    <row r="144" spans="1:9" s="91" customFormat="1">
      <c r="A144" s="79" t="s">
        <v>3</v>
      </c>
      <c r="B144" s="106" t="s">
        <v>198</v>
      </c>
      <c r="C144" s="106" t="s">
        <v>219</v>
      </c>
      <c r="D144" s="106" t="s">
        <v>220</v>
      </c>
      <c r="E144" s="103" t="s">
        <v>506</v>
      </c>
      <c r="F144" s="106"/>
      <c r="G144" s="107">
        <f>G145+G147+G150+G152+G155+G157</f>
        <v>321.7</v>
      </c>
      <c r="H144" s="107">
        <f>H145+H147+H150+H152+H155+H157</f>
        <v>1873.2999999999997</v>
      </c>
      <c r="I144" s="469"/>
    </row>
    <row r="145" spans="1:10" ht="31.5">
      <c r="A145" s="74" t="s">
        <v>536</v>
      </c>
      <c r="B145" s="97">
        <v>934</v>
      </c>
      <c r="C145" s="95" t="s">
        <v>219</v>
      </c>
      <c r="D145" s="95" t="s">
        <v>220</v>
      </c>
      <c r="E145" s="158" t="s">
        <v>511</v>
      </c>
      <c r="F145" s="111"/>
      <c r="G145" s="108">
        <f>G146</f>
        <v>0</v>
      </c>
      <c r="H145" s="108">
        <f>H146</f>
        <v>1674.6</v>
      </c>
      <c r="I145" s="538"/>
      <c r="J145" s="85"/>
    </row>
    <row r="146" spans="1:10" ht="31.5">
      <c r="A146" s="152" t="s">
        <v>267</v>
      </c>
      <c r="B146" s="98">
        <v>934</v>
      </c>
      <c r="C146" s="96" t="s">
        <v>219</v>
      </c>
      <c r="D146" s="96" t="s">
        <v>220</v>
      </c>
      <c r="E146" s="149" t="s">
        <v>511</v>
      </c>
      <c r="F146" s="110">
        <v>244</v>
      </c>
      <c r="G146" s="109">
        <v>0</v>
      </c>
      <c r="H146" s="109">
        <v>1674.6</v>
      </c>
      <c r="I146" s="469"/>
    </row>
    <row r="147" spans="1:10" ht="47.25">
      <c r="A147" s="74" t="s">
        <v>547</v>
      </c>
      <c r="B147" s="97">
        <v>934</v>
      </c>
      <c r="C147" s="95" t="s">
        <v>219</v>
      </c>
      <c r="D147" s="95" t="s">
        <v>220</v>
      </c>
      <c r="E147" s="158" t="s">
        <v>512</v>
      </c>
      <c r="F147" s="111"/>
      <c r="G147" s="108">
        <f>G148+G149</f>
        <v>0</v>
      </c>
      <c r="H147" s="108">
        <f>H148+H149</f>
        <v>25.1</v>
      </c>
      <c r="I147" s="538"/>
      <c r="J147" s="85"/>
    </row>
    <row r="148" spans="1:10">
      <c r="A148" s="76" t="s">
        <v>415</v>
      </c>
      <c r="B148" s="96">
        <v>934</v>
      </c>
      <c r="C148" s="96" t="s">
        <v>219</v>
      </c>
      <c r="D148" s="96" t="s">
        <v>220</v>
      </c>
      <c r="E148" s="149" t="s">
        <v>512</v>
      </c>
      <c r="F148" s="96" t="s">
        <v>400</v>
      </c>
      <c r="G148" s="148">
        <v>0</v>
      </c>
      <c r="H148" s="148">
        <v>19.278030000000001</v>
      </c>
      <c r="I148" s="469"/>
    </row>
    <row r="149" spans="1:10" ht="47.25">
      <c r="A149" s="195" t="s">
        <v>416</v>
      </c>
      <c r="B149" s="96">
        <v>934</v>
      </c>
      <c r="C149" s="96" t="s">
        <v>219</v>
      </c>
      <c r="D149" s="96" t="s">
        <v>220</v>
      </c>
      <c r="E149" s="149" t="s">
        <v>512</v>
      </c>
      <c r="F149" s="96" t="s">
        <v>417</v>
      </c>
      <c r="G149" s="148">
        <v>0</v>
      </c>
      <c r="H149" s="148">
        <v>5.8219700000000003</v>
      </c>
      <c r="I149" s="469"/>
    </row>
    <row r="150" spans="1:10" s="91" customFormat="1" ht="31.5">
      <c r="A150" s="77" t="s">
        <v>362</v>
      </c>
      <c r="B150" s="97">
        <v>934</v>
      </c>
      <c r="C150" s="95" t="s">
        <v>219</v>
      </c>
      <c r="D150" s="95" t="s">
        <v>220</v>
      </c>
      <c r="E150" s="95" t="s">
        <v>513</v>
      </c>
      <c r="F150" s="97"/>
      <c r="G150" s="108">
        <f>G151</f>
        <v>320</v>
      </c>
      <c r="H150" s="108">
        <f>H151</f>
        <v>0</v>
      </c>
      <c r="I150" s="538"/>
      <c r="J150" s="596"/>
    </row>
    <row r="151" spans="1:10" s="91" customFormat="1" ht="63">
      <c r="A151" s="76" t="s">
        <v>491</v>
      </c>
      <c r="B151" s="98">
        <v>934</v>
      </c>
      <c r="C151" s="96" t="s">
        <v>219</v>
      </c>
      <c r="D151" s="96" t="s">
        <v>220</v>
      </c>
      <c r="E151" s="96" t="s">
        <v>513</v>
      </c>
      <c r="F151" s="98">
        <v>812</v>
      </c>
      <c r="G151" s="109">
        <v>320</v>
      </c>
      <c r="H151" s="109">
        <v>0</v>
      </c>
      <c r="I151" s="469"/>
    </row>
    <row r="152" spans="1:10" s="91" customFormat="1" ht="47.25">
      <c r="A152" s="157" t="s">
        <v>1315</v>
      </c>
      <c r="B152" s="190">
        <v>934</v>
      </c>
      <c r="C152" s="158" t="s">
        <v>219</v>
      </c>
      <c r="D152" s="158" t="s">
        <v>220</v>
      </c>
      <c r="E152" s="158" t="s">
        <v>514</v>
      </c>
      <c r="F152" s="190"/>
      <c r="G152" s="121">
        <f>G153+G154</f>
        <v>1.7</v>
      </c>
      <c r="H152" s="121">
        <f>H153+H154</f>
        <v>0</v>
      </c>
      <c r="I152" s="538"/>
      <c r="J152" s="596"/>
    </row>
    <row r="153" spans="1:10" s="91" customFormat="1">
      <c r="A153" s="169" t="s">
        <v>415</v>
      </c>
      <c r="B153" s="153">
        <v>934</v>
      </c>
      <c r="C153" s="149" t="s">
        <v>219</v>
      </c>
      <c r="D153" s="149" t="s">
        <v>220</v>
      </c>
      <c r="E153" s="149" t="s">
        <v>514</v>
      </c>
      <c r="F153" s="153">
        <v>121</v>
      </c>
      <c r="G153" s="148">
        <v>1.30568</v>
      </c>
      <c r="H153" s="148">
        <v>0</v>
      </c>
      <c r="I153" s="469"/>
    </row>
    <row r="154" spans="1:10" s="91" customFormat="1" ht="47.25">
      <c r="A154" s="239" t="s">
        <v>416</v>
      </c>
      <c r="B154" s="153">
        <v>934</v>
      </c>
      <c r="C154" s="149" t="s">
        <v>219</v>
      </c>
      <c r="D154" s="149" t="s">
        <v>220</v>
      </c>
      <c r="E154" s="149" t="s">
        <v>514</v>
      </c>
      <c r="F154" s="153">
        <v>129</v>
      </c>
      <c r="G154" s="148">
        <v>0.39432</v>
      </c>
      <c r="H154" s="148">
        <v>0</v>
      </c>
      <c r="I154" s="469"/>
    </row>
    <row r="155" spans="1:10" s="91" customFormat="1" ht="47.25">
      <c r="A155" s="239" t="s">
        <v>1082</v>
      </c>
      <c r="B155" s="153">
        <v>934</v>
      </c>
      <c r="C155" s="149" t="s">
        <v>219</v>
      </c>
      <c r="D155" s="149" t="s">
        <v>220</v>
      </c>
      <c r="E155" s="149" t="s">
        <v>1083</v>
      </c>
      <c r="F155" s="153"/>
      <c r="G155" s="148">
        <f>G156</f>
        <v>0</v>
      </c>
      <c r="H155" s="148">
        <f>H156</f>
        <v>151</v>
      </c>
      <c r="I155" s="469"/>
    </row>
    <row r="156" spans="1:10" s="91" customFormat="1" ht="31.5">
      <c r="A156" s="152" t="s">
        <v>267</v>
      </c>
      <c r="B156" s="153">
        <v>934</v>
      </c>
      <c r="C156" s="149" t="s">
        <v>219</v>
      </c>
      <c r="D156" s="149" t="s">
        <v>220</v>
      </c>
      <c r="E156" s="149" t="s">
        <v>1083</v>
      </c>
      <c r="F156" s="153">
        <v>244</v>
      </c>
      <c r="G156" s="148">
        <v>0</v>
      </c>
      <c r="H156" s="148">
        <v>151</v>
      </c>
      <c r="I156" s="469"/>
    </row>
    <row r="157" spans="1:10" s="91" customFormat="1" ht="47.25">
      <c r="A157" s="239" t="s">
        <v>1077</v>
      </c>
      <c r="B157" s="153">
        <v>934</v>
      </c>
      <c r="C157" s="149" t="s">
        <v>219</v>
      </c>
      <c r="D157" s="149" t="s">
        <v>220</v>
      </c>
      <c r="E157" s="149" t="s">
        <v>1084</v>
      </c>
      <c r="F157" s="153"/>
      <c r="G157" s="148">
        <f>G158+G159</f>
        <v>0</v>
      </c>
      <c r="H157" s="148">
        <f>H158+H159</f>
        <v>22.6</v>
      </c>
      <c r="I157" s="469"/>
    </row>
    <row r="158" spans="1:10" s="91" customFormat="1">
      <c r="A158" s="76" t="s">
        <v>415</v>
      </c>
      <c r="B158" s="153">
        <v>934</v>
      </c>
      <c r="C158" s="149" t="s">
        <v>219</v>
      </c>
      <c r="D158" s="149" t="s">
        <v>220</v>
      </c>
      <c r="E158" s="149" t="s">
        <v>1084</v>
      </c>
      <c r="F158" s="153">
        <v>121</v>
      </c>
      <c r="G158" s="148">
        <v>0</v>
      </c>
      <c r="H158" s="148">
        <v>17.35791</v>
      </c>
      <c r="I158" s="469"/>
    </row>
    <row r="159" spans="1:10" s="91" customFormat="1" ht="47.25">
      <c r="A159" s="195" t="s">
        <v>416</v>
      </c>
      <c r="B159" s="153">
        <v>934</v>
      </c>
      <c r="C159" s="149" t="s">
        <v>219</v>
      </c>
      <c r="D159" s="149" t="s">
        <v>220</v>
      </c>
      <c r="E159" s="149" t="s">
        <v>1084</v>
      </c>
      <c r="F159" s="153">
        <v>129</v>
      </c>
      <c r="G159" s="148">
        <v>0</v>
      </c>
      <c r="H159" s="148">
        <v>5.2420900000000001</v>
      </c>
      <c r="I159" s="469"/>
    </row>
    <row r="160" spans="1:10" s="91" customFormat="1">
      <c r="A160" s="575" t="s">
        <v>264</v>
      </c>
      <c r="B160" s="102">
        <v>934</v>
      </c>
      <c r="C160" s="103" t="s">
        <v>219</v>
      </c>
      <c r="D160" s="103" t="s">
        <v>214</v>
      </c>
      <c r="E160" s="336"/>
      <c r="F160" s="103"/>
      <c r="G160" s="104">
        <f t="shared" ref="G160:H160" si="4">G161</f>
        <v>0</v>
      </c>
      <c r="H160" s="104">
        <f t="shared" si="4"/>
        <v>0</v>
      </c>
      <c r="I160" s="469"/>
    </row>
    <row r="161" spans="1:10" s="91" customFormat="1" ht="33.75" customHeight="1">
      <c r="A161" s="614" t="s">
        <v>452</v>
      </c>
      <c r="B161" s="191">
        <v>934</v>
      </c>
      <c r="C161" s="184" t="s">
        <v>219</v>
      </c>
      <c r="D161" s="184" t="s">
        <v>214</v>
      </c>
      <c r="E161" s="631" t="s">
        <v>788</v>
      </c>
      <c r="F161" s="175"/>
      <c r="G161" s="193">
        <f>G162</f>
        <v>0</v>
      </c>
      <c r="H161" s="193">
        <f>H162</f>
        <v>0</v>
      </c>
      <c r="I161" s="469"/>
    </row>
    <row r="162" spans="1:10" s="91" customFormat="1" ht="31.5">
      <c r="A162" s="152" t="s">
        <v>267</v>
      </c>
      <c r="B162" s="98">
        <v>934</v>
      </c>
      <c r="C162" s="96" t="s">
        <v>219</v>
      </c>
      <c r="D162" s="96" t="s">
        <v>214</v>
      </c>
      <c r="E162" s="626" t="s">
        <v>487</v>
      </c>
      <c r="F162" s="96" t="s">
        <v>401</v>
      </c>
      <c r="G162" s="109"/>
      <c r="H162" s="109"/>
      <c r="I162" s="469"/>
    </row>
    <row r="163" spans="1:10" s="91" customFormat="1">
      <c r="A163" s="79" t="s">
        <v>52</v>
      </c>
      <c r="B163" s="106">
        <v>934</v>
      </c>
      <c r="C163" s="106" t="s">
        <v>219</v>
      </c>
      <c r="D163" s="106" t="s">
        <v>217</v>
      </c>
      <c r="E163" s="103"/>
      <c r="F163" s="106"/>
      <c r="G163" s="107">
        <f>+G167+G174+G164</f>
        <v>923</v>
      </c>
      <c r="H163" s="107">
        <f>H167+H173+H180+H166</f>
        <v>923</v>
      </c>
      <c r="I163" s="469"/>
    </row>
    <row r="164" spans="1:10" s="91" customFormat="1" ht="31.5">
      <c r="A164" s="173" t="s">
        <v>1212</v>
      </c>
      <c r="B164" s="175" t="s">
        <v>198</v>
      </c>
      <c r="C164" s="175" t="s">
        <v>219</v>
      </c>
      <c r="D164" s="175" t="s">
        <v>217</v>
      </c>
      <c r="E164" s="175" t="s">
        <v>850</v>
      </c>
      <c r="F164" s="175"/>
      <c r="G164" s="177">
        <f t="shared" ref="G164:H165" si="5">G165</f>
        <v>300</v>
      </c>
      <c r="H164" s="177">
        <f t="shared" si="5"/>
        <v>300</v>
      </c>
      <c r="I164" s="469"/>
    </row>
    <row r="165" spans="1:10" s="91" customFormat="1">
      <c r="A165" s="173" t="s">
        <v>872</v>
      </c>
      <c r="B165" s="175" t="s">
        <v>198</v>
      </c>
      <c r="C165" s="175" t="s">
        <v>219</v>
      </c>
      <c r="D165" s="175" t="s">
        <v>217</v>
      </c>
      <c r="E165" s="175" t="s">
        <v>850</v>
      </c>
      <c r="F165" s="175"/>
      <c r="G165" s="177">
        <f t="shared" si="5"/>
        <v>300</v>
      </c>
      <c r="H165" s="177">
        <f t="shared" si="5"/>
        <v>300</v>
      </c>
      <c r="I165" s="469"/>
    </row>
    <row r="166" spans="1:10" s="91" customFormat="1" ht="31.5">
      <c r="A166" s="550" t="s">
        <v>267</v>
      </c>
      <c r="B166" s="96" t="s">
        <v>198</v>
      </c>
      <c r="C166" s="96" t="s">
        <v>219</v>
      </c>
      <c r="D166" s="96" t="s">
        <v>217</v>
      </c>
      <c r="E166" s="204" t="s">
        <v>516</v>
      </c>
      <c r="F166" s="204" t="s">
        <v>401</v>
      </c>
      <c r="G166" s="201">
        <v>300</v>
      </c>
      <c r="H166" s="201">
        <v>300</v>
      </c>
      <c r="I166" s="469"/>
    </row>
    <row r="167" spans="1:10" s="156" customFormat="1" ht="47.25">
      <c r="A167" s="625" t="s">
        <v>1236</v>
      </c>
      <c r="B167" s="184" t="s">
        <v>198</v>
      </c>
      <c r="C167" s="184" t="s">
        <v>219</v>
      </c>
      <c r="D167" s="184" t="s">
        <v>217</v>
      </c>
      <c r="E167" s="184" t="s">
        <v>1249</v>
      </c>
      <c r="F167" s="184"/>
      <c r="G167" s="193">
        <f t="shared" ref="G167:H169" si="6">G168</f>
        <v>3</v>
      </c>
      <c r="H167" s="193">
        <f t="shared" si="6"/>
        <v>3</v>
      </c>
      <c r="I167" s="538">
        <f>G167</f>
        <v>3</v>
      </c>
      <c r="J167" s="595">
        <f>H167</f>
        <v>3</v>
      </c>
    </row>
    <row r="168" spans="1:10" s="91" customFormat="1" ht="31.5">
      <c r="A168" s="625" t="s">
        <v>1248</v>
      </c>
      <c r="B168" s="184" t="s">
        <v>198</v>
      </c>
      <c r="C168" s="184" t="s">
        <v>219</v>
      </c>
      <c r="D168" s="184" t="s">
        <v>217</v>
      </c>
      <c r="E168" s="184" t="s">
        <v>1266</v>
      </c>
      <c r="F168" s="184"/>
      <c r="G168" s="193">
        <f t="shared" si="6"/>
        <v>3</v>
      </c>
      <c r="H168" s="193">
        <f t="shared" si="6"/>
        <v>3</v>
      </c>
      <c r="I168" s="469"/>
    </row>
    <row r="169" spans="1:10" s="91" customFormat="1" ht="29.25" customHeight="1">
      <c r="A169" s="575" t="s">
        <v>1245</v>
      </c>
      <c r="B169" s="96" t="s">
        <v>198</v>
      </c>
      <c r="C169" s="96" t="s">
        <v>219</v>
      </c>
      <c r="D169" s="96" t="s">
        <v>217</v>
      </c>
      <c r="E169" s="96" t="s">
        <v>1244</v>
      </c>
      <c r="F169" s="96"/>
      <c r="G169" s="109">
        <f t="shared" si="6"/>
        <v>3</v>
      </c>
      <c r="H169" s="109">
        <f t="shared" si="6"/>
        <v>3</v>
      </c>
      <c r="I169" s="469"/>
    </row>
    <row r="170" spans="1:10" s="91" customFormat="1" ht="45.75" customHeight="1">
      <c r="A170" s="77" t="s">
        <v>402</v>
      </c>
      <c r="B170" s="95" t="s">
        <v>198</v>
      </c>
      <c r="C170" s="95" t="s">
        <v>219</v>
      </c>
      <c r="D170" s="95" t="s">
        <v>217</v>
      </c>
      <c r="E170" s="96" t="s">
        <v>1270</v>
      </c>
      <c r="F170" s="95"/>
      <c r="G170" s="108">
        <f>G171+G172</f>
        <v>3</v>
      </c>
      <c r="H170" s="108">
        <f>H171+H172</f>
        <v>3</v>
      </c>
      <c r="I170" s="469"/>
    </row>
    <row r="171" spans="1:10" s="91" customFormat="1" ht="29.25" customHeight="1">
      <c r="A171" s="76" t="s">
        <v>415</v>
      </c>
      <c r="B171" s="96" t="s">
        <v>198</v>
      </c>
      <c r="C171" s="96" t="s">
        <v>219</v>
      </c>
      <c r="D171" s="96" t="s">
        <v>217</v>
      </c>
      <c r="E171" s="96" t="s">
        <v>1270</v>
      </c>
      <c r="F171" s="96" t="s">
        <v>400</v>
      </c>
      <c r="G171" s="109">
        <v>2.3041499999999999</v>
      </c>
      <c r="H171" s="109">
        <f>G171</f>
        <v>2.3041499999999999</v>
      </c>
      <c r="I171" s="469"/>
    </row>
    <row r="172" spans="1:10" s="91" customFormat="1" ht="29.25" customHeight="1">
      <c r="A172" s="195" t="s">
        <v>416</v>
      </c>
      <c r="B172" s="96" t="s">
        <v>198</v>
      </c>
      <c r="C172" s="96" t="s">
        <v>219</v>
      </c>
      <c r="D172" s="96" t="s">
        <v>217</v>
      </c>
      <c r="E172" s="96" t="s">
        <v>1270</v>
      </c>
      <c r="F172" s="96" t="s">
        <v>417</v>
      </c>
      <c r="G172" s="109">
        <v>0.69584999999999997</v>
      </c>
      <c r="H172" s="109">
        <f>G172</f>
        <v>0.69584999999999997</v>
      </c>
      <c r="I172" s="469"/>
    </row>
    <row r="173" spans="1:10" s="91" customFormat="1" ht="51" customHeight="1">
      <c r="A173" s="416" t="s">
        <v>776</v>
      </c>
      <c r="B173" s="184" t="s">
        <v>198</v>
      </c>
      <c r="C173" s="184" t="s">
        <v>219</v>
      </c>
      <c r="D173" s="184" t="s">
        <v>217</v>
      </c>
      <c r="E173" s="184" t="s">
        <v>527</v>
      </c>
      <c r="F173" s="184"/>
      <c r="G173" s="193">
        <f>G174</f>
        <v>620</v>
      </c>
      <c r="H173" s="193">
        <f>H174</f>
        <v>0</v>
      </c>
      <c r="I173" s="469"/>
    </row>
    <row r="174" spans="1:10" s="91" customFormat="1" ht="31.5" customHeight="1">
      <c r="A174" s="416" t="s">
        <v>778</v>
      </c>
      <c r="B174" s="184" t="s">
        <v>198</v>
      </c>
      <c r="C174" s="184" t="s">
        <v>219</v>
      </c>
      <c r="D174" s="184" t="s">
        <v>217</v>
      </c>
      <c r="E174" s="184" t="s">
        <v>496</v>
      </c>
      <c r="F174" s="174"/>
      <c r="G174" s="177">
        <f t="shared" ref="G174:H174" si="7">G175</f>
        <v>620</v>
      </c>
      <c r="H174" s="177">
        <f t="shared" si="7"/>
        <v>0</v>
      </c>
      <c r="I174" s="469"/>
    </row>
    <row r="175" spans="1:10" s="91" customFormat="1">
      <c r="A175" s="208" t="s">
        <v>874</v>
      </c>
      <c r="B175" s="204" t="s">
        <v>198</v>
      </c>
      <c r="C175" s="204" t="s">
        <v>219</v>
      </c>
      <c r="D175" s="204" t="s">
        <v>217</v>
      </c>
      <c r="E175" s="204" t="s">
        <v>496</v>
      </c>
      <c r="F175" s="97"/>
      <c r="G175" s="109">
        <f>G176+G178</f>
        <v>620</v>
      </c>
      <c r="H175" s="109">
        <f>H177</f>
        <v>0</v>
      </c>
      <c r="I175" s="469"/>
    </row>
    <row r="176" spans="1:10" s="91" customFormat="1" ht="35.25" customHeight="1">
      <c r="A176" s="208" t="s">
        <v>670</v>
      </c>
      <c r="B176" s="96" t="s">
        <v>198</v>
      </c>
      <c r="C176" s="96" t="s">
        <v>219</v>
      </c>
      <c r="D176" s="96" t="s">
        <v>217</v>
      </c>
      <c r="E176" s="96" t="s">
        <v>497</v>
      </c>
      <c r="F176" s="97"/>
      <c r="G176" s="109">
        <f>G177</f>
        <v>170</v>
      </c>
      <c r="H176" s="109">
        <v>0</v>
      </c>
      <c r="I176" s="469"/>
    </row>
    <row r="177" spans="1:10" s="91" customFormat="1" ht="31.5" customHeight="1">
      <c r="A177" s="152" t="s">
        <v>267</v>
      </c>
      <c r="B177" s="96" t="s">
        <v>198</v>
      </c>
      <c r="C177" s="96" t="s">
        <v>219</v>
      </c>
      <c r="D177" s="96" t="s">
        <v>217</v>
      </c>
      <c r="E177" s="96" t="s">
        <v>497</v>
      </c>
      <c r="F177" s="98">
        <v>244</v>
      </c>
      <c r="G177" s="109">
        <v>170</v>
      </c>
      <c r="H177" s="109">
        <v>0</v>
      </c>
      <c r="I177" s="469"/>
    </row>
    <row r="178" spans="1:10" s="91" customFormat="1" ht="31.5" customHeight="1">
      <c r="A178" s="152" t="s">
        <v>671</v>
      </c>
      <c r="B178" s="96" t="s">
        <v>198</v>
      </c>
      <c r="C178" s="96" t="s">
        <v>219</v>
      </c>
      <c r="D178" s="96" t="s">
        <v>217</v>
      </c>
      <c r="E178" s="96" t="s">
        <v>497</v>
      </c>
      <c r="F178" s="98"/>
      <c r="G178" s="109">
        <f>G179</f>
        <v>450</v>
      </c>
      <c r="H178" s="109">
        <v>0</v>
      </c>
      <c r="I178" s="469"/>
    </row>
    <row r="179" spans="1:10" s="91" customFormat="1" ht="31.5" customHeight="1">
      <c r="A179" s="152" t="s">
        <v>267</v>
      </c>
      <c r="B179" s="96" t="s">
        <v>198</v>
      </c>
      <c r="C179" s="96" t="s">
        <v>219</v>
      </c>
      <c r="D179" s="96" t="s">
        <v>217</v>
      </c>
      <c r="E179" s="96" t="s">
        <v>497</v>
      </c>
      <c r="F179" s="98">
        <v>244</v>
      </c>
      <c r="G179" s="109">
        <v>450</v>
      </c>
      <c r="H179" s="109">
        <v>0</v>
      </c>
      <c r="I179" s="469"/>
    </row>
    <row r="180" spans="1:10" s="91" customFormat="1" ht="31.5" customHeight="1">
      <c r="A180" s="575" t="s">
        <v>452</v>
      </c>
      <c r="B180" s="96" t="s">
        <v>198</v>
      </c>
      <c r="C180" s="96" t="s">
        <v>219</v>
      </c>
      <c r="D180" s="96" t="s">
        <v>217</v>
      </c>
      <c r="E180" s="103" t="s">
        <v>1</v>
      </c>
      <c r="F180" s="102"/>
      <c r="G180" s="104">
        <v>0</v>
      </c>
      <c r="H180" s="104">
        <f>H181+H183</f>
        <v>620</v>
      </c>
      <c r="I180" s="469"/>
    </row>
    <row r="181" spans="1:10" s="91" customFormat="1" ht="31.5" customHeight="1">
      <c r="A181" s="208" t="s">
        <v>670</v>
      </c>
      <c r="B181" s="96" t="s">
        <v>198</v>
      </c>
      <c r="C181" s="96" t="s">
        <v>219</v>
      </c>
      <c r="D181" s="96" t="s">
        <v>217</v>
      </c>
      <c r="E181" s="96" t="s">
        <v>1271</v>
      </c>
      <c r="F181" s="97"/>
      <c r="G181" s="109">
        <v>0</v>
      </c>
      <c r="H181" s="109">
        <f>H182</f>
        <v>170</v>
      </c>
      <c r="I181" s="469"/>
    </row>
    <row r="182" spans="1:10" s="91" customFormat="1" ht="31.5" customHeight="1">
      <c r="A182" s="152" t="s">
        <v>267</v>
      </c>
      <c r="B182" s="96" t="s">
        <v>198</v>
      </c>
      <c r="C182" s="96" t="s">
        <v>219</v>
      </c>
      <c r="D182" s="96" t="s">
        <v>217</v>
      </c>
      <c r="E182" s="96" t="s">
        <v>1271</v>
      </c>
      <c r="F182" s="98">
        <v>244</v>
      </c>
      <c r="G182" s="109">
        <v>0</v>
      </c>
      <c r="H182" s="109">
        <v>170</v>
      </c>
      <c r="I182" s="469"/>
    </row>
    <row r="183" spans="1:10" s="91" customFormat="1" ht="31.5" customHeight="1">
      <c r="A183" s="152" t="s">
        <v>671</v>
      </c>
      <c r="B183" s="96" t="s">
        <v>198</v>
      </c>
      <c r="C183" s="96" t="s">
        <v>219</v>
      </c>
      <c r="D183" s="96" t="s">
        <v>217</v>
      </c>
      <c r="E183" s="96" t="s">
        <v>1271</v>
      </c>
      <c r="F183" s="97"/>
      <c r="G183" s="109">
        <v>0</v>
      </c>
      <c r="H183" s="109">
        <f>H184</f>
        <v>450</v>
      </c>
      <c r="I183" s="469"/>
    </row>
    <row r="184" spans="1:10" s="91" customFormat="1" ht="31.5" customHeight="1">
      <c r="A184" s="152" t="s">
        <v>267</v>
      </c>
      <c r="B184" s="96" t="s">
        <v>198</v>
      </c>
      <c r="C184" s="96" t="s">
        <v>219</v>
      </c>
      <c r="D184" s="96" t="s">
        <v>217</v>
      </c>
      <c r="E184" s="96" t="s">
        <v>1271</v>
      </c>
      <c r="F184" s="98">
        <v>244</v>
      </c>
      <c r="G184" s="109">
        <v>0</v>
      </c>
      <c r="H184" s="109">
        <v>450</v>
      </c>
      <c r="I184" s="469"/>
    </row>
    <row r="185" spans="1:10" s="91" customFormat="1">
      <c r="A185" s="80" t="s">
        <v>186</v>
      </c>
      <c r="B185" s="103" t="s">
        <v>198</v>
      </c>
      <c r="C185" s="103" t="s">
        <v>216</v>
      </c>
      <c r="D185" s="103"/>
      <c r="E185" s="103"/>
      <c r="F185" s="103"/>
      <c r="G185" s="104">
        <f>G186</f>
        <v>100</v>
      </c>
      <c r="H185" s="104">
        <f>H186</f>
        <v>100</v>
      </c>
      <c r="I185" s="469"/>
    </row>
    <row r="186" spans="1:10" s="91" customFormat="1" ht="31.5">
      <c r="A186" s="79" t="s">
        <v>187</v>
      </c>
      <c r="B186" s="106" t="s">
        <v>198</v>
      </c>
      <c r="C186" s="106" t="s">
        <v>216</v>
      </c>
      <c r="D186" s="106" t="s">
        <v>213</v>
      </c>
      <c r="E186" s="103"/>
      <c r="F186" s="106"/>
      <c r="G186" s="107">
        <f t="shared" ref="G186:H187" si="8">G187</f>
        <v>100</v>
      </c>
      <c r="H186" s="107">
        <f t="shared" si="8"/>
        <v>100</v>
      </c>
      <c r="I186" s="469"/>
    </row>
    <row r="187" spans="1:10" s="91" customFormat="1">
      <c r="A187" s="77" t="s">
        <v>156</v>
      </c>
      <c r="B187" s="95" t="s">
        <v>198</v>
      </c>
      <c r="C187" s="95" t="s">
        <v>216</v>
      </c>
      <c r="D187" s="95" t="s">
        <v>213</v>
      </c>
      <c r="E187" s="96" t="s">
        <v>503</v>
      </c>
      <c r="F187" s="95"/>
      <c r="G187" s="108">
        <f t="shared" si="8"/>
        <v>100</v>
      </c>
      <c r="H187" s="108">
        <f t="shared" si="8"/>
        <v>100</v>
      </c>
      <c r="I187" s="469"/>
    </row>
    <row r="188" spans="1:10" s="91" customFormat="1" ht="31.5">
      <c r="A188" s="76" t="s">
        <v>381</v>
      </c>
      <c r="B188" s="96" t="s">
        <v>198</v>
      </c>
      <c r="C188" s="96" t="s">
        <v>216</v>
      </c>
      <c r="D188" s="96" t="s">
        <v>213</v>
      </c>
      <c r="E188" s="96" t="s">
        <v>2</v>
      </c>
      <c r="F188" s="96"/>
      <c r="G188" s="109">
        <f>G189</f>
        <v>100</v>
      </c>
      <c r="H188" s="109">
        <f>H189</f>
        <v>100</v>
      </c>
      <c r="I188" s="469"/>
    </row>
    <row r="189" spans="1:10" s="91" customFormat="1" ht="31.5">
      <c r="A189" s="152" t="s">
        <v>267</v>
      </c>
      <c r="B189" s="96" t="s">
        <v>198</v>
      </c>
      <c r="C189" s="96" t="s">
        <v>216</v>
      </c>
      <c r="D189" s="96" t="s">
        <v>213</v>
      </c>
      <c r="E189" s="96" t="s">
        <v>2</v>
      </c>
      <c r="F189" s="96" t="s">
        <v>401</v>
      </c>
      <c r="G189" s="109">
        <v>100</v>
      </c>
      <c r="H189" s="109">
        <v>100</v>
      </c>
      <c r="I189" s="469"/>
    </row>
    <row r="190" spans="1:10" s="92" customFormat="1">
      <c r="A190" s="80" t="s">
        <v>396</v>
      </c>
      <c r="B190" s="103">
        <v>934</v>
      </c>
      <c r="C190" s="103" t="s">
        <v>212</v>
      </c>
      <c r="D190" s="103"/>
      <c r="E190" s="113"/>
      <c r="F190" s="103"/>
      <c r="G190" s="104">
        <f>G191+G207</f>
        <v>16042.8</v>
      </c>
      <c r="H190" s="104">
        <f>H191+H207</f>
        <v>15942.8</v>
      </c>
      <c r="I190" s="469"/>
      <c r="J190" s="146"/>
    </row>
    <row r="191" spans="1:10" s="92" customFormat="1">
      <c r="A191" s="79" t="s">
        <v>461</v>
      </c>
      <c r="B191" s="106" t="s">
        <v>198</v>
      </c>
      <c r="C191" s="106" t="s">
        <v>212</v>
      </c>
      <c r="D191" s="106" t="s">
        <v>213</v>
      </c>
      <c r="E191" s="113"/>
      <c r="F191" s="106"/>
      <c r="G191" s="107">
        <f>G192</f>
        <v>15942.8</v>
      </c>
      <c r="H191" s="107">
        <f>H192+H200</f>
        <v>15942.8</v>
      </c>
      <c r="I191" s="469"/>
    </row>
    <row r="192" spans="1:10" s="91" customFormat="1" ht="54.75" customHeight="1">
      <c r="A192" s="173" t="s">
        <v>775</v>
      </c>
      <c r="B192" s="175" t="s">
        <v>198</v>
      </c>
      <c r="C192" s="175" t="s">
        <v>212</v>
      </c>
      <c r="D192" s="175" t="s">
        <v>213</v>
      </c>
      <c r="E192" s="175" t="s">
        <v>537</v>
      </c>
      <c r="F192" s="175"/>
      <c r="G192" s="177">
        <f>G194+G196+G198</f>
        <v>15942.8</v>
      </c>
      <c r="H192" s="177">
        <f>H194+H196+H198</f>
        <v>0</v>
      </c>
      <c r="I192" s="469"/>
    </row>
    <row r="193" spans="1:10" s="91" customFormat="1" ht="21" customHeight="1">
      <c r="A193" s="173" t="s">
        <v>875</v>
      </c>
      <c r="B193" s="175" t="s">
        <v>198</v>
      </c>
      <c r="C193" s="175" t="s">
        <v>212</v>
      </c>
      <c r="D193" s="175" t="s">
        <v>213</v>
      </c>
      <c r="E193" s="175" t="s">
        <v>537</v>
      </c>
      <c r="F193" s="175"/>
      <c r="G193" s="177">
        <f>G195+G197+G199</f>
        <v>15942.8</v>
      </c>
      <c r="H193" s="177">
        <f>H195+H197+H199</f>
        <v>0</v>
      </c>
      <c r="I193" s="469"/>
    </row>
    <row r="194" spans="1:10" s="92" customFormat="1" ht="91.5" customHeight="1">
      <c r="A194" s="77" t="s">
        <v>179</v>
      </c>
      <c r="B194" s="95" t="s">
        <v>198</v>
      </c>
      <c r="C194" s="95" t="s">
        <v>212</v>
      </c>
      <c r="D194" s="95" t="s">
        <v>213</v>
      </c>
      <c r="E194" s="96" t="s">
        <v>663</v>
      </c>
      <c r="F194" s="95"/>
      <c r="G194" s="121">
        <f>G195</f>
        <v>7380.8</v>
      </c>
      <c r="H194" s="121">
        <f>H195</f>
        <v>0</v>
      </c>
      <c r="I194" s="538">
        <f>G194</f>
        <v>7380.8</v>
      </c>
      <c r="J194" s="212">
        <f>H194</f>
        <v>0</v>
      </c>
    </row>
    <row r="195" spans="1:10" s="92" customFormat="1" ht="21.75" customHeight="1">
      <c r="A195" s="76" t="s">
        <v>340</v>
      </c>
      <c r="B195" s="96" t="s">
        <v>198</v>
      </c>
      <c r="C195" s="96" t="s">
        <v>212</v>
      </c>
      <c r="D195" s="96" t="s">
        <v>213</v>
      </c>
      <c r="E195" s="96" t="s">
        <v>663</v>
      </c>
      <c r="F195" s="96" t="s">
        <v>341</v>
      </c>
      <c r="G195" s="109">
        <v>7380.8</v>
      </c>
      <c r="H195" s="109">
        <v>0</v>
      </c>
      <c r="I195" s="469"/>
    </row>
    <row r="196" spans="1:10" s="92" customFormat="1" ht="21.75" customHeight="1">
      <c r="A196" s="76" t="s">
        <v>662</v>
      </c>
      <c r="B196" s="95" t="s">
        <v>198</v>
      </c>
      <c r="C196" s="95" t="s">
        <v>212</v>
      </c>
      <c r="D196" s="95" t="s">
        <v>213</v>
      </c>
      <c r="E196" s="96" t="s">
        <v>663</v>
      </c>
      <c r="F196" s="95"/>
      <c r="G196" s="109">
        <f>G197</f>
        <v>3762</v>
      </c>
      <c r="H196" s="109">
        <f>H197</f>
        <v>0</v>
      </c>
      <c r="I196" s="469"/>
    </row>
    <row r="197" spans="1:10" s="92" customFormat="1" ht="21.75" customHeight="1">
      <c r="A197" s="76" t="s">
        <v>340</v>
      </c>
      <c r="B197" s="96" t="s">
        <v>198</v>
      </c>
      <c r="C197" s="96" t="s">
        <v>212</v>
      </c>
      <c r="D197" s="96" t="s">
        <v>213</v>
      </c>
      <c r="E197" s="96" t="s">
        <v>663</v>
      </c>
      <c r="F197" s="96" t="s">
        <v>341</v>
      </c>
      <c r="G197" s="109">
        <v>3762</v>
      </c>
      <c r="H197" s="109">
        <v>0</v>
      </c>
      <c r="I197" s="469"/>
    </row>
    <row r="198" spans="1:10" s="92" customFormat="1" ht="52.5" customHeight="1">
      <c r="A198" s="77" t="s">
        <v>376</v>
      </c>
      <c r="B198" s="95" t="s">
        <v>198</v>
      </c>
      <c r="C198" s="95" t="s">
        <v>212</v>
      </c>
      <c r="D198" s="95" t="s">
        <v>213</v>
      </c>
      <c r="E198" s="95" t="s">
        <v>518</v>
      </c>
      <c r="F198" s="95"/>
      <c r="G198" s="108">
        <f>G199</f>
        <v>4800</v>
      </c>
      <c r="H198" s="108">
        <f>H199</f>
        <v>0</v>
      </c>
      <c r="I198" s="469"/>
    </row>
    <row r="199" spans="1:10" s="92" customFormat="1" ht="32.25" customHeight="1">
      <c r="A199" s="76" t="s">
        <v>339</v>
      </c>
      <c r="B199" s="96" t="s">
        <v>198</v>
      </c>
      <c r="C199" s="96" t="s">
        <v>212</v>
      </c>
      <c r="D199" s="96" t="s">
        <v>213</v>
      </c>
      <c r="E199" s="95" t="s">
        <v>518</v>
      </c>
      <c r="F199" s="96" t="s">
        <v>409</v>
      </c>
      <c r="G199" s="109">
        <v>4800</v>
      </c>
      <c r="H199" s="109">
        <v>0</v>
      </c>
      <c r="I199" s="469"/>
    </row>
    <row r="200" spans="1:10" s="92" customFormat="1" ht="32.25" customHeight="1">
      <c r="A200" s="76" t="s">
        <v>452</v>
      </c>
      <c r="B200" s="96" t="s">
        <v>198</v>
      </c>
      <c r="C200" s="96" t="s">
        <v>212</v>
      </c>
      <c r="D200" s="96" t="s">
        <v>213</v>
      </c>
      <c r="E200" s="95"/>
      <c r="F200" s="96"/>
      <c r="G200" s="109">
        <f t="shared" ref="G200:G204" si="9">G201</f>
        <v>0</v>
      </c>
      <c r="H200" s="109">
        <f>H201+H203+H205</f>
        <v>15942.8</v>
      </c>
      <c r="I200" s="469"/>
    </row>
    <row r="201" spans="1:10" s="92" customFormat="1" ht="32.25" customHeight="1">
      <c r="A201" s="77" t="s">
        <v>179</v>
      </c>
      <c r="B201" s="96" t="s">
        <v>198</v>
      </c>
      <c r="C201" s="96" t="s">
        <v>212</v>
      </c>
      <c r="D201" s="96" t="s">
        <v>213</v>
      </c>
      <c r="E201" s="96" t="s">
        <v>1186</v>
      </c>
      <c r="F201" s="96"/>
      <c r="G201" s="109">
        <f t="shared" si="9"/>
        <v>0</v>
      </c>
      <c r="H201" s="109">
        <f>H202</f>
        <v>7380.8</v>
      </c>
      <c r="I201" s="469"/>
    </row>
    <row r="202" spans="1:10" s="92" customFormat="1" ht="32.25" customHeight="1">
      <c r="A202" s="76" t="s">
        <v>340</v>
      </c>
      <c r="B202" s="96" t="s">
        <v>198</v>
      </c>
      <c r="C202" s="96" t="s">
        <v>212</v>
      </c>
      <c r="D202" s="96" t="s">
        <v>213</v>
      </c>
      <c r="E202" s="96" t="s">
        <v>1186</v>
      </c>
      <c r="F202" s="96" t="s">
        <v>341</v>
      </c>
      <c r="G202" s="109">
        <f t="shared" si="9"/>
        <v>0</v>
      </c>
      <c r="H202" s="109">
        <v>7380.8</v>
      </c>
      <c r="I202" s="469"/>
    </row>
    <row r="203" spans="1:10" s="92" customFormat="1" ht="32.25" customHeight="1">
      <c r="A203" s="76" t="s">
        <v>662</v>
      </c>
      <c r="B203" s="96" t="s">
        <v>198</v>
      </c>
      <c r="C203" s="96" t="s">
        <v>212</v>
      </c>
      <c r="D203" s="96" t="s">
        <v>213</v>
      </c>
      <c r="E203" s="96" t="s">
        <v>1186</v>
      </c>
      <c r="F203" s="96"/>
      <c r="G203" s="109">
        <f t="shared" si="9"/>
        <v>0</v>
      </c>
      <c r="H203" s="109">
        <f>H204</f>
        <v>3762</v>
      </c>
      <c r="I203" s="469"/>
    </row>
    <row r="204" spans="1:10" s="92" customFormat="1" ht="32.25" customHeight="1">
      <c r="A204" s="76" t="s">
        <v>340</v>
      </c>
      <c r="B204" s="96" t="s">
        <v>198</v>
      </c>
      <c r="C204" s="96" t="s">
        <v>212</v>
      </c>
      <c r="D204" s="96" t="s">
        <v>213</v>
      </c>
      <c r="E204" s="96" t="s">
        <v>1186</v>
      </c>
      <c r="F204" s="96" t="s">
        <v>341</v>
      </c>
      <c r="G204" s="109">
        <f t="shared" si="9"/>
        <v>0</v>
      </c>
      <c r="H204" s="109">
        <v>3762</v>
      </c>
      <c r="I204" s="469"/>
    </row>
    <row r="205" spans="1:10" s="92" customFormat="1" ht="32.25" customHeight="1">
      <c r="A205" s="77" t="s">
        <v>376</v>
      </c>
      <c r="B205" s="96" t="s">
        <v>198</v>
      </c>
      <c r="C205" s="96" t="s">
        <v>212</v>
      </c>
      <c r="D205" s="96" t="s">
        <v>213</v>
      </c>
      <c r="E205" s="96" t="s">
        <v>1021</v>
      </c>
      <c r="F205" s="96"/>
      <c r="G205" s="109">
        <f>G206</f>
        <v>0</v>
      </c>
      <c r="H205" s="109">
        <f>H206</f>
        <v>4800</v>
      </c>
      <c r="I205" s="469"/>
    </row>
    <row r="206" spans="1:10" s="92" customFormat="1" ht="32.25" customHeight="1">
      <c r="A206" s="76" t="s">
        <v>339</v>
      </c>
      <c r="B206" s="96" t="s">
        <v>198</v>
      </c>
      <c r="C206" s="96" t="s">
        <v>212</v>
      </c>
      <c r="D206" s="96" t="s">
        <v>213</v>
      </c>
      <c r="E206" s="96" t="s">
        <v>1021</v>
      </c>
      <c r="F206" s="96" t="s">
        <v>409</v>
      </c>
      <c r="G206" s="109">
        <v>0</v>
      </c>
      <c r="H206" s="109">
        <v>4800</v>
      </c>
      <c r="I206" s="469"/>
    </row>
    <row r="207" spans="1:10" s="92" customFormat="1" ht="32.25" customHeight="1">
      <c r="A207" s="79" t="s">
        <v>389</v>
      </c>
      <c r="B207" s="105">
        <v>934</v>
      </c>
      <c r="C207" s="106" t="s">
        <v>212</v>
      </c>
      <c r="D207" s="106" t="s">
        <v>212</v>
      </c>
      <c r="E207" s="106"/>
      <c r="F207" s="106"/>
      <c r="G207" s="107">
        <f>G208</f>
        <v>100</v>
      </c>
      <c r="H207" s="107">
        <f>H208</f>
        <v>0</v>
      </c>
      <c r="I207" s="469"/>
    </row>
    <row r="208" spans="1:10" s="92" customFormat="1" ht="44.25" customHeight="1">
      <c r="A208" s="173" t="s">
        <v>772</v>
      </c>
      <c r="B208" s="174">
        <v>934</v>
      </c>
      <c r="C208" s="175" t="s">
        <v>212</v>
      </c>
      <c r="D208" s="175" t="s">
        <v>212</v>
      </c>
      <c r="E208" s="175" t="s">
        <v>576</v>
      </c>
      <c r="F208" s="175"/>
      <c r="G208" s="177">
        <f>G210</f>
        <v>100</v>
      </c>
      <c r="H208" s="177">
        <f>H210</f>
        <v>0</v>
      </c>
      <c r="I208" s="469"/>
    </row>
    <row r="209" spans="1:10" s="92" customFormat="1" ht="41.25" customHeight="1">
      <c r="A209" s="178" t="s">
        <v>774</v>
      </c>
      <c r="B209" s="180">
        <v>934</v>
      </c>
      <c r="C209" s="180" t="s">
        <v>212</v>
      </c>
      <c r="D209" s="180" t="s">
        <v>212</v>
      </c>
      <c r="E209" s="630" t="s">
        <v>519</v>
      </c>
      <c r="F209" s="180"/>
      <c r="G209" s="181">
        <f>G210</f>
        <v>100</v>
      </c>
      <c r="H209" s="181">
        <f t="shared" ref="H209" si="10">H210</f>
        <v>0</v>
      </c>
      <c r="I209" s="469"/>
    </row>
    <row r="210" spans="1:10" s="92" customFormat="1" ht="32.25" customHeight="1">
      <c r="A210" s="221" t="s">
        <v>876</v>
      </c>
      <c r="B210" s="200">
        <v>934</v>
      </c>
      <c r="C210" s="200" t="s">
        <v>212</v>
      </c>
      <c r="D210" s="200" t="s">
        <v>212</v>
      </c>
      <c r="E210" s="633" t="s">
        <v>519</v>
      </c>
      <c r="F210" s="96"/>
      <c r="G210" s="109">
        <f>G211</f>
        <v>100</v>
      </c>
      <c r="H210" s="109">
        <f>H211</f>
        <v>0</v>
      </c>
      <c r="I210" s="469"/>
    </row>
    <row r="211" spans="1:10" s="92" customFormat="1" ht="32.25" customHeight="1">
      <c r="A211" s="152" t="s">
        <v>267</v>
      </c>
      <c r="B211" s="98">
        <v>934</v>
      </c>
      <c r="C211" s="96" t="s">
        <v>212</v>
      </c>
      <c r="D211" s="96" t="s">
        <v>212</v>
      </c>
      <c r="E211" s="456" t="s">
        <v>519</v>
      </c>
      <c r="F211" s="96" t="s">
        <v>401</v>
      </c>
      <c r="G211" s="109">
        <v>100</v>
      </c>
      <c r="H211" s="109">
        <v>0</v>
      </c>
      <c r="I211" s="469"/>
    </row>
    <row r="212" spans="1:10">
      <c r="A212" s="80" t="s">
        <v>342</v>
      </c>
      <c r="B212" s="103" t="s">
        <v>198</v>
      </c>
      <c r="C212" s="103" t="s">
        <v>221</v>
      </c>
      <c r="D212" s="103"/>
      <c r="E212" s="103"/>
      <c r="F212" s="103"/>
      <c r="G212" s="104">
        <f>G213</f>
        <v>43876.100000000006</v>
      </c>
      <c r="H212" s="104">
        <f>H213</f>
        <v>57696</v>
      </c>
      <c r="I212" s="469"/>
    </row>
    <row r="213" spans="1:10">
      <c r="A213" s="79" t="s">
        <v>394</v>
      </c>
      <c r="B213" s="106" t="s">
        <v>198</v>
      </c>
      <c r="C213" s="106" t="s">
        <v>221</v>
      </c>
      <c r="D213" s="106" t="s">
        <v>210</v>
      </c>
      <c r="E213" s="103"/>
      <c r="F213" s="106"/>
      <c r="G213" s="107">
        <f>G214+G224</f>
        <v>43876.100000000006</v>
      </c>
      <c r="H213" s="107">
        <f>H214+H224</f>
        <v>57696</v>
      </c>
      <c r="I213" s="469"/>
    </row>
    <row r="214" spans="1:10" s="92" customFormat="1" ht="31.5">
      <c r="A214" s="173" t="s">
        <v>795</v>
      </c>
      <c r="B214" s="174">
        <v>934</v>
      </c>
      <c r="C214" s="175" t="s">
        <v>221</v>
      </c>
      <c r="D214" s="175" t="s">
        <v>210</v>
      </c>
      <c r="E214" s="175" t="s">
        <v>537</v>
      </c>
      <c r="F214" s="175"/>
      <c r="G214" s="177">
        <f t="shared" ref="G214:H214" si="11">G215</f>
        <v>43876.100000000006</v>
      </c>
      <c r="H214" s="177">
        <f t="shared" si="11"/>
        <v>0</v>
      </c>
      <c r="I214" s="469"/>
    </row>
    <row r="215" spans="1:10" s="92" customFormat="1" ht="31.5">
      <c r="A215" s="173" t="s">
        <v>912</v>
      </c>
      <c r="B215" s="174">
        <v>934</v>
      </c>
      <c r="C215" s="175" t="s">
        <v>221</v>
      </c>
      <c r="D215" s="175" t="s">
        <v>210</v>
      </c>
      <c r="E215" s="175" t="s">
        <v>537</v>
      </c>
      <c r="F215" s="175"/>
      <c r="G215" s="177">
        <f>G216+G218+G220+G222</f>
        <v>43876.100000000006</v>
      </c>
      <c r="H215" s="177">
        <f>H216+H218+H220+H222</f>
        <v>0</v>
      </c>
      <c r="I215" s="469"/>
    </row>
    <row r="216" spans="1:10" ht="47.25">
      <c r="A216" s="77" t="s">
        <v>138</v>
      </c>
      <c r="B216" s="95" t="s">
        <v>198</v>
      </c>
      <c r="C216" s="95" t="s">
        <v>221</v>
      </c>
      <c r="D216" s="95" t="s">
        <v>210</v>
      </c>
      <c r="E216" s="95" t="s">
        <v>522</v>
      </c>
      <c r="F216" s="95"/>
      <c r="G216" s="121">
        <f>G217</f>
        <v>11457.7</v>
      </c>
      <c r="H216" s="121">
        <f>H217</f>
        <v>0</v>
      </c>
      <c r="I216" s="469"/>
    </row>
    <row r="217" spans="1:10" ht="47.25">
      <c r="A217" s="76" t="s">
        <v>262</v>
      </c>
      <c r="B217" s="96" t="s">
        <v>198</v>
      </c>
      <c r="C217" s="96" t="s">
        <v>221</v>
      </c>
      <c r="D217" s="96" t="s">
        <v>210</v>
      </c>
      <c r="E217" s="95" t="s">
        <v>522</v>
      </c>
      <c r="F217" s="96" t="s">
        <v>408</v>
      </c>
      <c r="G217" s="109">
        <v>11457.7</v>
      </c>
      <c r="H217" s="109"/>
      <c r="I217" s="469"/>
    </row>
    <row r="218" spans="1:10" ht="31.5">
      <c r="A218" s="77" t="s">
        <v>98</v>
      </c>
      <c r="B218" s="95" t="s">
        <v>198</v>
      </c>
      <c r="C218" s="95" t="s">
        <v>221</v>
      </c>
      <c r="D218" s="95" t="s">
        <v>210</v>
      </c>
      <c r="E218" s="96" t="s">
        <v>523</v>
      </c>
      <c r="F218" s="95"/>
      <c r="G218" s="108">
        <f>G219</f>
        <v>2362.1999999999998</v>
      </c>
      <c r="H218" s="108">
        <f>H219</f>
        <v>0</v>
      </c>
      <c r="I218" s="469"/>
    </row>
    <row r="219" spans="1:10" ht="47.25">
      <c r="A219" s="76" t="s">
        <v>262</v>
      </c>
      <c r="B219" s="96" t="s">
        <v>198</v>
      </c>
      <c r="C219" s="96" t="s">
        <v>221</v>
      </c>
      <c r="D219" s="96" t="s">
        <v>210</v>
      </c>
      <c r="E219" s="96" t="s">
        <v>523</v>
      </c>
      <c r="F219" s="96" t="s">
        <v>408</v>
      </c>
      <c r="G219" s="576">
        <v>2362.1999999999998</v>
      </c>
      <c r="H219" s="109"/>
      <c r="I219" s="469"/>
    </row>
    <row r="220" spans="1:10" ht="31.5">
      <c r="A220" s="77" t="s">
        <v>545</v>
      </c>
      <c r="B220" s="97">
        <v>934</v>
      </c>
      <c r="C220" s="95" t="s">
        <v>221</v>
      </c>
      <c r="D220" s="95" t="s">
        <v>210</v>
      </c>
      <c r="E220" s="149" t="s">
        <v>721</v>
      </c>
      <c r="F220" s="95"/>
      <c r="G220" s="108">
        <f>G221</f>
        <v>21294</v>
      </c>
      <c r="H220" s="108">
        <f>H221</f>
        <v>0</v>
      </c>
      <c r="I220" s="538">
        <f>G220</f>
        <v>21294</v>
      </c>
      <c r="J220" s="85">
        <f>H220</f>
        <v>0</v>
      </c>
    </row>
    <row r="221" spans="1:10">
      <c r="A221" s="76" t="s">
        <v>263</v>
      </c>
      <c r="B221" s="98">
        <v>934</v>
      </c>
      <c r="C221" s="96" t="s">
        <v>221</v>
      </c>
      <c r="D221" s="96" t="s">
        <v>210</v>
      </c>
      <c r="E221" s="149" t="s">
        <v>721</v>
      </c>
      <c r="F221" s="96" t="s">
        <v>260</v>
      </c>
      <c r="G221" s="109">
        <v>21294</v>
      </c>
      <c r="H221" s="109"/>
      <c r="I221" s="469"/>
    </row>
    <row r="222" spans="1:10" ht="31.5">
      <c r="A222" s="76" t="s">
        <v>661</v>
      </c>
      <c r="B222" s="98">
        <v>934</v>
      </c>
      <c r="C222" s="96" t="s">
        <v>221</v>
      </c>
      <c r="D222" s="96" t="s">
        <v>210</v>
      </c>
      <c r="E222" s="149" t="s">
        <v>721</v>
      </c>
      <c r="F222" s="96"/>
      <c r="G222" s="109">
        <f>G223</f>
        <v>8762.2000000000007</v>
      </c>
      <c r="H222" s="109">
        <f>H223</f>
        <v>0</v>
      </c>
      <c r="I222" s="469"/>
    </row>
    <row r="223" spans="1:10">
      <c r="A223" s="76" t="s">
        <v>263</v>
      </c>
      <c r="B223" s="98">
        <v>934</v>
      </c>
      <c r="C223" s="96" t="s">
        <v>221</v>
      </c>
      <c r="D223" s="96" t="s">
        <v>210</v>
      </c>
      <c r="E223" s="149" t="s">
        <v>721</v>
      </c>
      <c r="F223" s="96" t="s">
        <v>260</v>
      </c>
      <c r="G223" s="109">
        <v>8762.2000000000007</v>
      </c>
      <c r="H223" s="109">
        <v>0</v>
      </c>
      <c r="I223" s="469"/>
    </row>
    <row r="224" spans="1:10">
      <c r="A224" s="76" t="s">
        <v>452</v>
      </c>
      <c r="B224" s="97">
        <v>934</v>
      </c>
      <c r="C224" s="95" t="s">
        <v>221</v>
      </c>
      <c r="D224" s="95" t="s">
        <v>210</v>
      </c>
      <c r="E224" s="149" t="s">
        <v>788</v>
      </c>
      <c r="F224" s="96"/>
      <c r="G224" s="109">
        <f>G229+G225+G226+G227+G228</f>
        <v>0</v>
      </c>
      <c r="H224" s="109">
        <f>H229+H225+H226+H227+H228+H231</f>
        <v>57696</v>
      </c>
      <c r="I224" s="469"/>
    </row>
    <row r="225" spans="1:10" ht="47.25">
      <c r="A225" s="77" t="s">
        <v>138</v>
      </c>
      <c r="B225" s="95" t="s">
        <v>198</v>
      </c>
      <c r="C225" s="95" t="s">
        <v>221</v>
      </c>
      <c r="D225" s="95" t="s">
        <v>210</v>
      </c>
      <c r="E225" s="95" t="s">
        <v>1272</v>
      </c>
      <c r="F225" s="96"/>
      <c r="G225" s="109">
        <v>0</v>
      </c>
      <c r="H225" s="109">
        <f>H226</f>
        <v>11457.7</v>
      </c>
      <c r="I225" s="469"/>
    </row>
    <row r="226" spans="1:10" ht="47.25">
      <c r="A226" s="76" t="s">
        <v>262</v>
      </c>
      <c r="B226" s="96" t="s">
        <v>198</v>
      </c>
      <c r="C226" s="96" t="s">
        <v>221</v>
      </c>
      <c r="D226" s="96" t="s">
        <v>210</v>
      </c>
      <c r="E226" s="95" t="s">
        <v>1272</v>
      </c>
      <c r="F226" s="96" t="s">
        <v>408</v>
      </c>
      <c r="G226" s="109">
        <v>0</v>
      </c>
      <c r="H226" s="109">
        <v>11457.7</v>
      </c>
      <c r="I226" s="469"/>
    </row>
    <row r="227" spans="1:10" ht="31.5">
      <c r="A227" s="77" t="s">
        <v>98</v>
      </c>
      <c r="B227" s="95" t="s">
        <v>198</v>
      </c>
      <c r="C227" s="95" t="s">
        <v>221</v>
      </c>
      <c r="D227" s="95" t="s">
        <v>210</v>
      </c>
      <c r="E227" s="96" t="s">
        <v>1273</v>
      </c>
      <c r="F227" s="96"/>
      <c r="G227" s="109">
        <v>0</v>
      </c>
      <c r="H227" s="109">
        <f>H228</f>
        <v>2362.1999999999998</v>
      </c>
      <c r="I227" s="469"/>
    </row>
    <row r="228" spans="1:10" ht="47.25">
      <c r="A228" s="76" t="s">
        <v>262</v>
      </c>
      <c r="B228" s="96" t="s">
        <v>198</v>
      </c>
      <c r="C228" s="96" t="s">
        <v>221</v>
      </c>
      <c r="D228" s="96" t="s">
        <v>210</v>
      </c>
      <c r="E228" s="96" t="s">
        <v>1273</v>
      </c>
      <c r="F228" s="96" t="s">
        <v>408</v>
      </c>
      <c r="G228" s="109">
        <v>0</v>
      </c>
      <c r="H228" s="109">
        <v>2362.1999999999998</v>
      </c>
      <c r="I228" s="469"/>
    </row>
    <row r="229" spans="1:10" ht="31.5">
      <c r="A229" s="77" t="s">
        <v>545</v>
      </c>
      <c r="B229" s="97">
        <v>934</v>
      </c>
      <c r="C229" s="95" t="s">
        <v>221</v>
      </c>
      <c r="D229" s="95" t="s">
        <v>210</v>
      </c>
      <c r="E229" s="149" t="s">
        <v>1188</v>
      </c>
      <c r="F229" s="95"/>
      <c r="G229" s="108">
        <f>G230</f>
        <v>0</v>
      </c>
      <c r="H229" s="108">
        <f>H230</f>
        <v>21294</v>
      </c>
      <c r="I229" s="469"/>
    </row>
    <row r="230" spans="1:10">
      <c r="A230" s="76" t="s">
        <v>263</v>
      </c>
      <c r="B230" s="98">
        <v>934</v>
      </c>
      <c r="C230" s="96" t="s">
        <v>221</v>
      </c>
      <c r="D230" s="96" t="s">
        <v>210</v>
      </c>
      <c r="E230" s="149" t="s">
        <v>1188</v>
      </c>
      <c r="F230" s="96" t="s">
        <v>260</v>
      </c>
      <c r="G230" s="109">
        <v>0</v>
      </c>
      <c r="H230" s="109">
        <v>21294</v>
      </c>
      <c r="I230" s="469"/>
    </row>
    <row r="231" spans="1:10" ht="31.5">
      <c r="A231" s="76" t="s">
        <v>661</v>
      </c>
      <c r="B231" s="98">
        <v>934</v>
      </c>
      <c r="C231" s="96" t="s">
        <v>221</v>
      </c>
      <c r="D231" s="96" t="s">
        <v>210</v>
      </c>
      <c r="E231" s="149" t="s">
        <v>1188</v>
      </c>
      <c r="F231" s="95"/>
      <c r="G231" s="109">
        <v>0</v>
      </c>
      <c r="H231" s="109">
        <f>H232</f>
        <v>8762.2000000000007</v>
      </c>
      <c r="I231" s="469"/>
    </row>
    <row r="232" spans="1:10">
      <c r="A232" s="76" t="s">
        <v>263</v>
      </c>
      <c r="B232" s="98">
        <v>934</v>
      </c>
      <c r="C232" s="96" t="s">
        <v>221</v>
      </c>
      <c r="D232" s="96" t="s">
        <v>210</v>
      </c>
      <c r="E232" s="149" t="s">
        <v>1188</v>
      </c>
      <c r="F232" s="96" t="s">
        <v>260</v>
      </c>
      <c r="G232" s="109">
        <v>0</v>
      </c>
      <c r="H232" s="109">
        <v>8762.2000000000007</v>
      </c>
      <c r="I232" s="469"/>
    </row>
    <row r="233" spans="1:10" s="90" customFormat="1">
      <c r="A233" s="80" t="s">
        <v>393</v>
      </c>
      <c r="B233" s="116" t="s">
        <v>198</v>
      </c>
      <c r="C233" s="116" t="s">
        <v>215</v>
      </c>
      <c r="D233" s="116"/>
      <c r="E233" s="116"/>
      <c r="F233" s="116"/>
      <c r="G233" s="104">
        <f>G234+G236+G249+G263</f>
        <v>10558.38967</v>
      </c>
      <c r="H233" s="104">
        <f>H234+H236+H263+H249</f>
        <v>9679.2133199999989</v>
      </c>
      <c r="I233" s="469"/>
    </row>
    <row r="234" spans="1:10" s="92" customFormat="1">
      <c r="A234" s="79" t="s">
        <v>226</v>
      </c>
      <c r="B234" s="240" t="s">
        <v>198</v>
      </c>
      <c r="C234" s="240" t="s">
        <v>215</v>
      </c>
      <c r="D234" s="240" t="s">
        <v>210</v>
      </c>
      <c r="E234" s="116"/>
      <c r="F234" s="240"/>
      <c r="G234" s="107">
        <f>G235</f>
        <v>4147.7133199999998</v>
      </c>
      <c r="H234" s="107">
        <f>H235</f>
        <v>4147.7133199999998</v>
      </c>
      <c r="I234" s="469"/>
    </row>
    <row r="235" spans="1:10" ht="38.25" customHeight="1">
      <c r="A235" s="76" t="s">
        <v>432</v>
      </c>
      <c r="B235" s="96">
        <v>934</v>
      </c>
      <c r="C235" s="96" t="s">
        <v>215</v>
      </c>
      <c r="D235" s="96" t="s">
        <v>210</v>
      </c>
      <c r="E235" s="96" t="s">
        <v>524</v>
      </c>
      <c r="F235" s="96" t="s">
        <v>344</v>
      </c>
      <c r="G235" s="109">
        <v>4147.7133199999998</v>
      </c>
      <c r="H235" s="109">
        <v>4147.7133199999998</v>
      </c>
      <c r="I235" s="469"/>
    </row>
    <row r="236" spans="1:10" ht="24" customHeight="1">
      <c r="A236" s="79" t="s">
        <v>391</v>
      </c>
      <c r="B236" s="106">
        <v>934</v>
      </c>
      <c r="C236" s="106" t="s">
        <v>215</v>
      </c>
      <c r="D236" s="106" t="s">
        <v>213</v>
      </c>
      <c r="E236" s="591"/>
      <c r="F236" s="106"/>
      <c r="G236" s="107">
        <f>G237+G242</f>
        <v>815.5</v>
      </c>
      <c r="H236" s="107">
        <f>H237+H242+H245</f>
        <v>815.5</v>
      </c>
      <c r="I236" s="469"/>
    </row>
    <row r="237" spans="1:10" ht="31.5">
      <c r="A237" s="173" t="s">
        <v>795</v>
      </c>
      <c r="B237" s="174">
        <v>934</v>
      </c>
      <c r="C237" s="175" t="s">
        <v>215</v>
      </c>
      <c r="D237" s="175" t="s">
        <v>213</v>
      </c>
      <c r="E237" s="175" t="s">
        <v>537</v>
      </c>
      <c r="F237" s="175"/>
      <c r="G237" s="177">
        <f>G239</f>
        <v>587</v>
      </c>
      <c r="H237" s="177">
        <f>H239</f>
        <v>0</v>
      </c>
      <c r="I237" s="469"/>
    </row>
    <row r="238" spans="1:10">
      <c r="A238" s="173" t="s">
        <v>875</v>
      </c>
      <c r="B238" s="174">
        <v>934</v>
      </c>
      <c r="C238" s="175" t="s">
        <v>215</v>
      </c>
      <c r="D238" s="175" t="s">
        <v>213</v>
      </c>
      <c r="E238" s="175" t="s">
        <v>537</v>
      </c>
      <c r="F238" s="175"/>
      <c r="G238" s="177">
        <f>G239</f>
        <v>587</v>
      </c>
      <c r="H238" s="177">
        <f>H239</f>
        <v>0</v>
      </c>
      <c r="I238" s="469"/>
    </row>
    <row r="239" spans="1:10" ht="90" customHeight="1">
      <c r="A239" s="312" t="s">
        <v>715</v>
      </c>
      <c r="B239" s="95">
        <v>934</v>
      </c>
      <c r="C239" s="115" t="s">
        <v>215</v>
      </c>
      <c r="D239" s="115" t="s">
        <v>213</v>
      </c>
      <c r="E239" s="96" t="s">
        <v>418</v>
      </c>
      <c r="F239" s="115"/>
      <c r="G239" s="108">
        <f>G240+G241</f>
        <v>587</v>
      </c>
      <c r="H239" s="108">
        <f>H240+H241</f>
        <v>0</v>
      </c>
      <c r="I239" s="538">
        <f>G239</f>
        <v>587</v>
      </c>
      <c r="J239" s="85">
        <f>H239</f>
        <v>0</v>
      </c>
    </row>
    <row r="240" spans="1:10">
      <c r="A240" s="76" t="s">
        <v>263</v>
      </c>
      <c r="B240" s="96">
        <v>934</v>
      </c>
      <c r="C240" s="117" t="s">
        <v>215</v>
      </c>
      <c r="D240" s="117" t="s">
        <v>213</v>
      </c>
      <c r="E240" s="96" t="s">
        <v>418</v>
      </c>
      <c r="F240" s="117" t="s">
        <v>260</v>
      </c>
      <c r="G240" s="109">
        <v>384</v>
      </c>
      <c r="H240" s="109">
        <v>0</v>
      </c>
      <c r="I240" s="469"/>
    </row>
    <row r="241" spans="1:9">
      <c r="A241" s="76" t="s">
        <v>340</v>
      </c>
      <c r="B241" s="96">
        <v>934</v>
      </c>
      <c r="C241" s="117" t="s">
        <v>215</v>
      </c>
      <c r="D241" s="117" t="s">
        <v>213</v>
      </c>
      <c r="E241" s="96" t="s">
        <v>418</v>
      </c>
      <c r="F241" s="117" t="s">
        <v>341</v>
      </c>
      <c r="G241" s="109">
        <v>203</v>
      </c>
      <c r="H241" s="109">
        <v>0</v>
      </c>
      <c r="I241" s="469"/>
    </row>
    <row r="242" spans="1:9" ht="44.25" customHeight="1">
      <c r="A242" s="192" t="s">
        <v>780</v>
      </c>
      <c r="B242" s="184">
        <v>934</v>
      </c>
      <c r="C242" s="631" t="s">
        <v>215</v>
      </c>
      <c r="D242" s="631" t="s">
        <v>213</v>
      </c>
      <c r="E242" s="184" t="s">
        <v>1004</v>
      </c>
      <c r="F242" s="631"/>
      <c r="G242" s="193">
        <f>G243</f>
        <v>228.5</v>
      </c>
      <c r="H242" s="193">
        <f>H243</f>
        <v>0</v>
      </c>
      <c r="I242" s="469"/>
    </row>
    <row r="243" spans="1:9" ht="204.75">
      <c r="A243" s="312" t="s">
        <v>715</v>
      </c>
      <c r="B243" s="96">
        <v>934</v>
      </c>
      <c r="C243" s="117" t="s">
        <v>215</v>
      </c>
      <c r="D243" s="117" t="s">
        <v>213</v>
      </c>
      <c r="E243" s="96" t="s">
        <v>1004</v>
      </c>
      <c r="F243" s="117"/>
      <c r="G243" s="109">
        <f>G244</f>
        <v>228.5</v>
      </c>
      <c r="H243" s="109">
        <f>H244</f>
        <v>0</v>
      </c>
      <c r="I243" s="469"/>
    </row>
    <row r="244" spans="1:9">
      <c r="A244" s="76" t="s">
        <v>340</v>
      </c>
      <c r="B244" s="96">
        <v>934</v>
      </c>
      <c r="C244" s="117" t="s">
        <v>215</v>
      </c>
      <c r="D244" s="117" t="s">
        <v>213</v>
      </c>
      <c r="E244" s="96" t="s">
        <v>1004</v>
      </c>
      <c r="F244" s="117" t="s">
        <v>341</v>
      </c>
      <c r="G244" s="109">
        <v>228.5</v>
      </c>
      <c r="H244" s="109">
        <v>0</v>
      </c>
      <c r="I244" s="469"/>
    </row>
    <row r="245" spans="1:9">
      <c r="A245" s="76" t="s">
        <v>452</v>
      </c>
      <c r="B245" s="95">
        <v>934</v>
      </c>
      <c r="C245" s="115" t="s">
        <v>215</v>
      </c>
      <c r="D245" s="115" t="s">
        <v>213</v>
      </c>
      <c r="E245" s="96" t="s">
        <v>1</v>
      </c>
      <c r="F245" s="117"/>
      <c r="G245" s="109">
        <f>G246</f>
        <v>0</v>
      </c>
      <c r="H245" s="109">
        <f>H246</f>
        <v>815.5</v>
      </c>
      <c r="I245" s="469"/>
    </row>
    <row r="246" spans="1:9" ht="204.75">
      <c r="A246" s="312" t="s">
        <v>715</v>
      </c>
      <c r="B246" s="95">
        <v>934</v>
      </c>
      <c r="C246" s="115" t="s">
        <v>215</v>
      </c>
      <c r="D246" s="115" t="s">
        <v>213</v>
      </c>
      <c r="E246" s="96" t="s">
        <v>1300</v>
      </c>
      <c r="F246" s="115"/>
      <c r="G246" s="108">
        <f>G247+G248</f>
        <v>0</v>
      </c>
      <c r="H246" s="108">
        <f>H247+H248</f>
        <v>815.5</v>
      </c>
      <c r="I246" s="469"/>
    </row>
    <row r="247" spans="1:9">
      <c r="A247" s="76" t="s">
        <v>263</v>
      </c>
      <c r="B247" s="96">
        <v>934</v>
      </c>
      <c r="C247" s="117" t="s">
        <v>215</v>
      </c>
      <c r="D247" s="117" t="s">
        <v>213</v>
      </c>
      <c r="E247" s="96" t="s">
        <v>1300</v>
      </c>
      <c r="F247" s="117" t="s">
        <v>260</v>
      </c>
      <c r="G247" s="109">
        <v>0</v>
      </c>
      <c r="H247" s="109">
        <v>384</v>
      </c>
      <c r="I247" s="469"/>
    </row>
    <row r="248" spans="1:9">
      <c r="A248" s="76" t="s">
        <v>340</v>
      </c>
      <c r="B248" s="96">
        <v>934</v>
      </c>
      <c r="C248" s="117" t="s">
        <v>215</v>
      </c>
      <c r="D248" s="117" t="s">
        <v>213</v>
      </c>
      <c r="E248" s="96" t="s">
        <v>1300</v>
      </c>
      <c r="F248" s="117" t="s">
        <v>341</v>
      </c>
      <c r="G248" s="109">
        <v>0</v>
      </c>
      <c r="H248" s="109">
        <f>203+228.5</f>
        <v>431.5</v>
      </c>
      <c r="I248" s="469"/>
    </row>
    <row r="249" spans="1:9">
      <c r="A249" s="79" t="s">
        <v>1111</v>
      </c>
      <c r="B249" s="106">
        <v>934</v>
      </c>
      <c r="C249" s="106" t="s">
        <v>215</v>
      </c>
      <c r="D249" s="106" t="s">
        <v>219</v>
      </c>
      <c r="E249" s="106"/>
      <c r="F249" s="106"/>
      <c r="G249" s="107">
        <f>G250</f>
        <v>2754.0763500000003</v>
      </c>
      <c r="H249" s="107">
        <f>H257</f>
        <v>1874.8999999999999</v>
      </c>
      <c r="I249" s="469"/>
    </row>
    <row r="250" spans="1:9" ht="31.5">
      <c r="A250" s="173" t="s">
        <v>772</v>
      </c>
      <c r="B250" s="174">
        <v>934</v>
      </c>
      <c r="C250" s="175" t="s">
        <v>215</v>
      </c>
      <c r="D250" s="175" t="s">
        <v>219</v>
      </c>
      <c r="E250" s="501" t="s">
        <v>573</v>
      </c>
      <c r="F250" s="175"/>
      <c r="G250" s="193">
        <f t="shared" ref="G250:G251" si="12">G251</f>
        <v>2754.0763500000003</v>
      </c>
      <c r="H250" s="193">
        <f>H251</f>
        <v>0</v>
      </c>
      <c r="I250" s="469"/>
    </row>
    <row r="251" spans="1:9" ht="47.25">
      <c r="A251" s="178" t="s">
        <v>773</v>
      </c>
      <c r="B251" s="179">
        <v>934</v>
      </c>
      <c r="C251" s="180" t="s">
        <v>215</v>
      </c>
      <c r="D251" s="180" t="s">
        <v>219</v>
      </c>
      <c r="E251" s="186" t="s">
        <v>852</v>
      </c>
      <c r="F251" s="180"/>
      <c r="G251" s="181">
        <f t="shared" si="12"/>
        <v>2754.0763500000003</v>
      </c>
      <c r="H251" s="181">
        <v>0</v>
      </c>
      <c r="I251" s="469"/>
    </row>
    <row r="252" spans="1:9" ht="31.5">
      <c r="A252" s="558" t="s">
        <v>851</v>
      </c>
      <c r="B252" s="340">
        <v>934</v>
      </c>
      <c r="C252" s="200" t="s">
        <v>215</v>
      </c>
      <c r="D252" s="200" t="s">
        <v>219</v>
      </c>
      <c r="E252" s="204" t="s">
        <v>852</v>
      </c>
      <c r="F252" s="200"/>
      <c r="G252" s="201">
        <f>G253+G255</f>
        <v>2754.0763500000003</v>
      </c>
      <c r="H252" s="109">
        <v>0</v>
      </c>
      <c r="I252" s="469"/>
    </row>
    <row r="253" spans="1:9" ht="31.5">
      <c r="A253" s="221" t="s">
        <v>702</v>
      </c>
      <c r="B253" s="98">
        <v>934</v>
      </c>
      <c r="C253" s="149" t="s">
        <v>215</v>
      </c>
      <c r="D253" s="149" t="s">
        <v>219</v>
      </c>
      <c r="E253" s="149" t="s">
        <v>572</v>
      </c>
      <c r="F253" s="200"/>
      <c r="G253" s="201">
        <f>G254</f>
        <v>2189.5</v>
      </c>
      <c r="H253" s="109">
        <v>0</v>
      </c>
      <c r="I253" s="469"/>
    </row>
    <row r="254" spans="1:9">
      <c r="A254" s="76" t="s">
        <v>334</v>
      </c>
      <c r="B254" s="98">
        <v>934</v>
      </c>
      <c r="C254" s="149" t="s">
        <v>215</v>
      </c>
      <c r="D254" s="149" t="s">
        <v>219</v>
      </c>
      <c r="E254" s="149" t="s">
        <v>572</v>
      </c>
      <c r="F254" s="96" t="s">
        <v>333</v>
      </c>
      <c r="G254" s="199">
        <v>2189.5</v>
      </c>
      <c r="H254" s="109">
        <v>0</v>
      </c>
      <c r="I254" s="469"/>
    </row>
    <row r="255" spans="1:9" ht="47.25">
      <c r="A255" s="221" t="s">
        <v>703</v>
      </c>
      <c r="B255" s="98">
        <v>934</v>
      </c>
      <c r="C255" s="158" t="s">
        <v>215</v>
      </c>
      <c r="D255" s="158" t="s">
        <v>219</v>
      </c>
      <c r="E255" s="149" t="s">
        <v>572</v>
      </c>
      <c r="F255" s="96"/>
      <c r="G255" s="199">
        <f>G256</f>
        <v>564.57635000000005</v>
      </c>
      <c r="H255" s="109">
        <v>0</v>
      </c>
      <c r="I255" s="469"/>
    </row>
    <row r="256" spans="1:9">
      <c r="A256" s="76" t="s">
        <v>334</v>
      </c>
      <c r="B256" s="98">
        <v>934</v>
      </c>
      <c r="C256" s="158" t="s">
        <v>215</v>
      </c>
      <c r="D256" s="158" t="s">
        <v>219</v>
      </c>
      <c r="E256" s="149" t="s">
        <v>572</v>
      </c>
      <c r="F256" s="96" t="s">
        <v>333</v>
      </c>
      <c r="G256" s="109">
        <v>564.57635000000005</v>
      </c>
      <c r="H256" s="109">
        <v>0</v>
      </c>
      <c r="I256" s="469"/>
    </row>
    <row r="257" spans="1:10">
      <c r="A257" s="76" t="s">
        <v>452</v>
      </c>
      <c r="B257" s="98">
        <v>934</v>
      </c>
      <c r="C257" s="158" t="s">
        <v>215</v>
      </c>
      <c r="D257" s="158" t="s">
        <v>219</v>
      </c>
      <c r="E257" s="149" t="s">
        <v>1307</v>
      </c>
      <c r="F257" s="96"/>
      <c r="G257" s="109">
        <v>0</v>
      </c>
      <c r="H257" s="109">
        <f>H258</f>
        <v>1874.8999999999999</v>
      </c>
      <c r="I257" s="469"/>
    </row>
    <row r="258" spans="1:10" ht="31.5">
      <c r="A258" s="558" t="s">
        <v>851</v>
      </c>
      <c r="B258" s="98">
        <v>934</v>
      </c>
      <c r="C258" s="158" t="s">
        <v>215</v>
      </c>
      <c r="D258" s="158" t="s">
        <v>219</v>
      </c>
      <c r="E258" s="149" t="s">
        <v>1308</v>
      </c>
      <c r="F258" s="96"/>
      <c r="G258" s="109">
        <v>0</v>
      </c>
      <c r="H258" s="201">
        <f>H259+H261</f>
        <v>1874.8999999999999</v>
      </c>
      <c r="I258" s="469"/>
    </row>
    <row r="259" spans="1:10" ht="31.5">
      <c r="A259" s="221" t="s">
        <v>702</v>
      </c>
      <c r="B259" s="98">
        <v>934</v>
      </c>
      <c r="C259" s="158" t="s">
        <v>215</v>
      </c>
      <c r="D259" s="158" t="s">
        <v>219</v>
      </c>
      <c r="E259" s="149" t="s">
        <v>1308</v>
      </c>
      <c r="F259" s="96"/>
      <c r="G259" s="109">
        <v>0</v>
      </c>
      <c r="H259" s="201">
        <f>H260</f>
        <v>1455.6</v>
      </c>
      <c r="I259" s="469"/>
    </row>
    <row r="260" spans="1:10">
      <c r="A260" s="76" t="s">
        <v>334</v>
      </c>
      <c r="B260" s="98">
        <v>934</v>
      </c>
      <c r="C260" s="158" t="s">
        <v>215</v>
      </c>
      <c r="D260" s="158" t="s">
        <v>219</v>
      </c>
      <c r="E260" s="149" t="s">
        <v>1308</v>
      </c>
      <c r="F260" s="96" t="s">
        <v>333</v>
      </c>
      <c r="G260" s="109">
        <v>0</v>
      </c>
      <c r="H260" s="201">
        <v>1455.6</v>
      </c>
      <c r="I260" s="469"/>
    </row>
    <row r="261" spans="1:10" ht="47.25">
      <c r="A261" s="221" t="s">
        <v>703</v>
      </c>
      <c r="B261" s="98">
        <v>934</v>
      </c>
      <c r="C261" s="158" t="s">
        <v>215</v>
      </c>
      <c r="D261" s="158" t="s">
        <v>219</v>
      </c>
      <c r="E261" s="149" t="s">
        <v>1308</v>
      </c>
      <c r="F261" s="96"/>
      <c r="G261" s="109">
        <v>0</v>
      </c>
      <c r="H261" s="201">
        <f>H262</f>
        <v>419.3</v>
      </c>
      <c r="I261" s="469"/>
    </row>
    <row r="262" spans="1:10">
      <c r="A262" s="76" t="s">
        <v>334</v>
      </c>
      <c r="B262" s="98">
        <v>934</v>
      </c>
      <c r="C262" s="158" t="s">
        <v>215</v>
      </c>
      <c r="D262" s="158" t="s">
        <v>219</v>
      </c>
      <c r="E262" s="149" t="s">
        <v>1308</v>
      </c>
      <c r="F262" s="96" t="s">
        <v>333</v>
      </c>
      <c r="G262" s="109">
        <v>0</v>
      </c>
      <c r="H262" s="109">
        <v>419.3</v>
      </c>
      <c r="I262" s="469"/>
    </row>
    <row r="263" spans="1:10" s="92" customFormat="1">
      <c r="A263" s="79" t="s">
        <v>392</v>
      </c>
      <c r="B263" s="106">
        <v>934</v>
      </c>
      <c r="C263" s="106" t="s">
        <v>215</v>
      </c>
      <c r="D263" s="106" t="s">
        <v>216</v>
      </c>
      <c r="E263" s="103"/>
      <c r="F263" s="106"/>
      <c r="G263" s="107">
        <f t="shared" ref="G263:H265" si="13">G264</f>
        <v>2841.0999999999995</v>
      </c>
      <c r="H263" s="107">
        <f t="shared" si="13"/>
        <v>2841.0999999999995</v>
      </c>
      <c r="I263" s="469"/>
    </row>
    <row r="264" spans="1:10" s="92" customFormat="1" ht="47.25">
      <c r="A264" s="625" t="s">
        <v>1236</v>
      </c>
      <c r="B264" s="183">
        <v>934</v>
      </c>
      <c r="C264" s="183" t="s">
        <v>215</v>
      </c>
      <c r="D264" s="183" t="s">
        <v>216</v>
      </c>
      <c r="E264" s="634" t="s">
        <v>1240</v>
      </c>
      <c r="F264" s="183"/>
      <c r="G264" s="185">
        <f t="shared" si="13"/>
        <v>2841.0999999999995</v>
      </c>
      <c r="H264" s="185">
        <f t="shared" si="13"/>
        <v>2841.0999999999995</v>
      </c>
      <c r="I264" s="469"/>
    </row>
    <row r="265" spans="1:10" s="92" customFormat="1" ht="31.5">
      <c r="A265" s="829" t="s">
        <v>1248</v>
      </c>
      <c r="B265" s="827" t="s">
        <v>198</v>
      </c>
      <c r="C265" s="830">
        <v>10</v>
      </c>
      <c r="D265" s="827" t="s">
        <v>216</v>
      </c>
      <c r="E265" s="827" t="s">
        <v>1241</v>
      </c>
      <c r="F265" s="106"/>
      <c r="G265" s="107">
        <f t="shared" si="13"/>
        <v>2841.0999999999995</v>
      </c>
      <c r="H265" s="107">
        <f t="shared" si="13"/>
        <v>2841.0999999999995</v>
      </c>
      <c r="I265" s="469"/>
    </row>
    <row r="266" spans="1:10" s="92" customFormat="1" ht="47.25">
      <c r="A266" s="575" t="s">
        <v>1245</v>
      </c>
      <c r="B266" s="827" t="s">
        <v>198</v>
      </c>
      <c r="C266" s="830">
        <v>10</v>
      </c>
      <c r="D266" s="827" t="s">
        <v>216</v>
      </c>
      <c r="E266" s="103" t="s">
        <v>1244</v>
      </c>
      <c r="F266" s="106"/>
      <c r="G266" s="107">
        <f>G267+G271+G276</f>
        <v>2841.0999999999995</v>
      </c>
      <c r="H266" s="107">
        <f>H267+H271+H276</f>
        <v>2841.0999999999995</v>
      </c>
      <c r="I266" s="469"/>
    </row>
    <row r="267" spans="1:10" s="92" customFormat="1" ht="47.25">
      <c r="A267" s="157" t="s">
        <v>181</v>
      </c>
      <c r="B267" s="149">
        <v>934</v>
      </c>
      <c r="C267" s="158" t="s">
        <v>215</v>
      </c>
      <c r="D267" s="158" t="s">
        <v>216</v>
      </c>
      <c r="E267" s="158" t="s">
        <v>1254</v>
      </c>
      <c r="F267" s="158"/>
      <c r="G267" s="121">
        <f>G268+G269+G270</f>
        <v>1378.7</v>
      </c>
      <c r="H267" s="121">
        <f>H268+H269+H270</f>
        <v>1378.7</v>
      </c>
      <c r="I267" s="469"/>
    </row>
    <row r="268" spans="1:10" s="160" customFormat="1">
      <c r="A268" s="76" t="s">
        <v>415</v>
      </c>
      <c r="B268" s="96">
        <v>934</v>
      </c>
      <c r="C268" s="96" t="s">
        <v>215</v>
      </c>
      <c r="D268" s="96" t="s">
        <v>216</v>
      </c>
      <c r="E268" s="158" t="s">
        <v>1254</v>
      </c>
      <c r="F268" s="96" t="s">
        <v>400</v>
      </c>
      <c r="G268" s="109">
        <v>968.42738999999995</v>
      </c>
      <c r="H268" s="109">
        <f>G268</f>
        <v>968.42738999999995</v>
      </c>
      <c r="I268" s="538">
        <f>G268</f>
        <v>968.42738999999995</v>
      </c>
      <c r="J268" s="598">
        <f>H268</f>
        <v>968.42738999999995</v>
      </c>
    </row>
    <row r="269" spans="1:10" s="92" customFormat="1" ht="47.25">
      <c r="A269" s="195" t="s">
        <v>416</v>
      </c>
      <c r="B269" s="96">
        <v>934</v>
      </c>
      <c r="C269" s="96" t="s">
        <v>215</v>
      </c>
      <c r="D269" s="96" t="s">
        <v>216</v>
      </c>
      <c r="E269" s="158" t="s">
        <v>1254</v>
      </c>
      <c r="F269" s="96" t="s">
        <v>417</v>
      </c>
      <c r="G269" s="109">
        <v>292.46661</v>
      </c>
      <c r="H269" s="109">
        <f>G269</f>
        <v>292.46661</v>
      </c>
      <c r="I269" s="469"/>
    </row>
    <row r="270" spans="1:10" s="92" customFormat="1" ht="31.5">
      <c r="A270" s="152" t="s">
        <v>267</v>
      </c>
      <c r="B270" s="96">
        <v>934</v>
      </c>
      <c r="C270" s="96" t="s">
        <v>215</v>
      </c>
      <c r="D270" s="96" t="s">
        <v>216</v>
      </c>
      <c r="E270" s="158" t="s">
        <v>1254</v>
      </c>
      <c r="F270" s="96" t="s">
        <v>401</v>
      </c>
      <c r="G270" s="109">
        <v>117.806</v>
      </c>
      <c r="H270" s="109">
        <f>G270</f>
        <v>117.806</v>
      </c>
      <c r="I270" s="469"/>
    </row>
    <row r="271" spans="1:10" s="92" customFormat="1" ht="47.25">
      <c r="A271" s="77" t="s">
        <v>180</v>
      </c>
      <c r="B271" s="96">
        <v>934</v>
      </c>
      <c r="C271" s="95" t="s">
        <v>215</v>
      </c>
      <c r="D271" s="95" t="s">
        <v>216</v>
      </c>
      <c r="E271" s="95" t="s">
        <v>1255</v>
      </c>
      <c r="F271" s="95"/>
      <c r="G271" s="108">
        <f>G272+G273+G274+G275</f>
        <v>1378.6999999999998</v>
      </c>
      <c r="H271" s="108">
        <f>H272+H273+H274+H275</f>
        <v>1378.6999999999998</v>
      </c>
      <c r="I271" s="469"/>
    </row>
    <row r="272" spans="1:10">
      <c r="A272" s="76" t="s">
        <v>415</v>
      </c>
      <c r="B272" s="96">
        <v>934</v>
      </c>
      <c r="C272" s="96" t="s">
        <v>215</v>
      </c>
      <c r="D272" s="96" t="s">
        <v>216</v>
      </c>
      <c r="E272" s="95" t="s">
        <v>1255</v>
      </c>
      <c r="F272" s="96" t="s">
        <v>400</v>
      </c>
      <c r="G272" s="109">
        <f>859.6005+37.02+26.88172</f>
        <v>923.50221999999997</v>
      </c>
      <c r="H272" s="109">
        <f>G272</f>
        <v>923.50221999999997</v>
      </c>
      <c r="I272" s="538">
        <f>G272</f>
        <v>923.50221999999997</v>
      </c>
      <c r="J272" s="85">
        <f>H272</f>
        <v>923.50221999999997</v>
      </c>
    </row>
    <row r="273" spans="1:10" s="90" customFormat="1" ht="31.5">
      <c r="A273" s="76" t="s">
        <v>10</v>
      </c>
      <c r="B273" s="96">
        <v>934</v>
      </c>
      <c r="C273" s="96" t="s">
        <v>215</v>
      </c>
      <c r="D273" s="96" t="s">
        <v>216</v>
      </c>
      <c r="E273" s="95" t="s">
        <v>1255</v>
      </c>
      <c r="F273" s="96" t="s">
        <v>405</v>
      </c>
      <c r="G273" s="109">
        <v>24.2</v>
      </c>
      <c r="H273" s="109">
        <f>G273</f>
        <v>24.2</v>
      </c>
      <c r="I273" s="469"/>
    </row>
    <row r="274" spans="1:10" ht="47.25">
      <c r="A274" s="195" t="s">
        <v>416</v>
      </c>
      <c r="B274" s="96">
        <v>934</v>
      </c>
      <c r="C274" s="96" t="s">
        <v>215</v>
      </c>
      <c r="D274" s="96" t="s">
        <v>216</v>
      </c>
      <c r="E274" s="95" t="s">
        <v>1255</v>
      </c>
      <c r="F274" s="96" t="s">
        <v>417</v>
      </c>
      <c r="G274" s="109">
        <f>259.5995+11.18+8.11828</f>
        <v>278.89778000000001</v>
      </c>
      <c r="H274" s="109">
        <f>G274</f>
        <v>278.89778000000001</v>
      </c>
      <c r="I274" s="469"/>
    </row>
    <row r="275" spans="1:10" ht="31.5">
      <c r="A275" s="152" t="s">
        <v>267</v>
      </c>
      <c r="B275" s="96">
        <v>934</v>
      </c>
      <c r="C275" s="96" t="s">
        <v>215</v>
      </c>
      <c r="D275" s="96" t="s">
        <v>216</v>
      </c>
      <c r="E275" s="95" t="s">
        <v>1255</v>
      </c>
      <c r="F275" s="96" t="s">
        <v>401</v>
      </c>
      <c r="G275" s="109">
        <v>152.1</v>
      </c>
      <c r="H275" s="109">
        <f>G275</f>
        <v>152.1</v>
      </c>
      <c r="I275" s="469"/>
    </row>
    <row r="276" spans="1:10" ht="63">
      <c r="A276" s="152" t="s">
        <v>1037</v>
      </c>
      <c r="B276" s="96">
        <v>934</v>
      </c>
      <c r="C276" s="96" t="s">
        <v>215</v>
      </c>
      <c r="D276" s="96" t="s">
        <v>216</v>
      </c>
      <c r="E276" s="96" t="s">
        <v>1256</v>
      </c>
      <c r="F276" s="96"/>
      <c r="G276" s="109">
        <f>G277+G278</f>
        <v>83.699999999999989</v>
      </c>
      <c r="H276" s="109">
        <f>H277+H278</f>
        <v>83.699999999999989</v>
      </c>
      <c r="I276" s="469"/>
    </row>
    <row r="277" spans="1:10">
      <c r="A277" s="76" t="s">
        <v>415</v>
      </c>
      <c r="B277" s="96">
        <v>934</v>
      </c>
      <c r="C277" s="96" t="s">
        <v>215</v>
      </c>
      <c r="D277" s="96" t="s">
        <v>216</v>
      </c>
      <c r="E277" s="96" t="s">
        <v>1256</v>
      </c>
      <c r="F277" s="96" t="s">
        <v>400</v>
      </c>
      <c r="G277" s="109">
        <v>64.285709999999995</v>
      </c>
      <c r="H277" s="109">
        <f>G277</f>
        <v>64.285709999999995</v>
      </c>
      <c r="I277" s="469"/>
    </row>
    <row r="278" spans="1:10" ht="47.25">
      <c r="A278" s="195" t="s">
        <v>416</v>
      </c>
      <c r="B278" s="96">
        <v>934</v>
      </c>
      <c r="C278" s="96" t="s">
        <v>215</v>
      </c>
      <c r="D278" s="96" t="s">
        <v>216</v>
      </c>
      <c r="E278" s="96" t="s">
        <v>1256</v>
      </c>
      <c r="F278" s="96" t="s">
        <v>417</v>
      </c>
      <c r="G278" s="109">
        <v>19.414290000000001</v>
      </c>
      <c r="H278" s="109">
        <f>G278</f>
        <v>19.414290000000001</v>
      </c>
      <c r="I278" s="469"/>
    </row>
    <row r="279" spans="1:10">
      <c r="A279" s="80" t="s">
        <v>390</v>
      </c>
      <c r="B279" s="103">
        <v>934</v>
      </c>
      <c r="C279" s="103" t="s">
        <v>218</v>
      </c>
      <c r="D279" s="103"/>
      <c r="E279" s="103"/>
      <c r="F279" s="103"/>
      <c r="G279" s="104">
        <f>G280+G285+G292</f>
        <v>18591.261460000002</v>
      </c>
      <c r="H279" s="104">
        <f>H280+H285+H292</f>
        <v>9274.6499100000001</v>
      </c>
      <c r="I279" s="469"/>
    </row>
    <row r="280" spans="1:10">
      <c r="A280" s="79" t="s">
        <v>335</v>
      </c>
      <c r="B280" s="103">
        <v>934</v>
      </c>
      <c r="C280" s="106" t="s">
        <v>218</v>
      </c>
      <c r="D280" s="106" t="s">
        <v>210</v>
      </c>
      <c r="E280" s="103"/>
      <c r="F280" s="106"/>
      <c r="G280" s="107">
        <f>G281</f>
        <v>1497.1</v>
      </c>
      <c r="H280" s="107">
        <f>H281</f>
        <v>0</v>
      </c>
      <c r="I280" s="469"/>
    </row>
    <row r="281" spans="1:10" ht="31.5">
      <c r="A281" s="173" t="s">
        <v>780</v>
      </c>
      <c r="B281" s="184" t="s">
        <v>198</v>
      </c>
      <c r="C281" s="175" t="s">
        <v>218</v>
      </c>
      <c r="D281" s="175" t="s">
        <v>210</v>
      </c>
      <c r="E281" s="175" t="s">
        <v>576</v>
      </c>
      <c r="F281" s="175"/>
      <c r="G281" s="177">
        <f>G282</f>
        <v>1497.1</v>
      </c>
      <c r="H281" s="177">
        <f>H282</f>
        <v>0</v>
      </c>
      <c r="I281" s="469"/>
    </row>
    <row r="282" spans="1:10" ht="31.5">
      <c r="A282" s="173" t="s">
        <v>879</v>
      </c>
      <c r="B282" s="184" t="s">
        <v>198</v>
      </c>
      <c r="C282" s="175" t="s">
        <v>218</v>
      </c>
      <c r="D282" s="175" t="s">
        <v>210</v>
      </c>
      <c r="E282" s="175" t="s">
        <v>576</v>
      </c>
      <c r="F282" s="175"/>
      <c r="G282" s="177">
        <f>G283+G284</f>
        <v>1497.1</v>
      </c>
      <c r="H282" s="177">
        <f>H283+H284</f>
        <v>0</v>
      </c>
      <c r="I282" s="469"/>
    </row>
    <row r="283" spans="1:10" ht="31.5">
      <c r="A283" s="152" t="s">
        <v>267</v>
      </c>
      <c r="B283" s="96">
        <v>934</v>
      </c>
      <c r="C283" s="96" t="s">
        <v>218</v>
      </c>
      <c r="D283" s="96" t="s">
        <v>210</v>
      </c>
      <c r="E283" s="149" t="s">
        <v>525</v>
      </c>
      <c r="F283" s="96" t="s">
        <v>401</v>
      </c>
      <c r="G283" s="109">
        <v>1297.0999999999999</v>
      </c>
      <c r="H283" s="109">
        <v>0</v>
      </c>
      <c r="I283" s="469"/>
    </row>
    <row r="284" spans="1:10">
      <c r="A284" s="573" t="s">
        <v>668</v>
      </c>
      <c r="B284" s="96">
        <v>934</v>
      </c>
      <c r="C284" s="96" t="s">
        <v>218</v>
      </c>
      <c r="D284" s="96" t="s">
        <v>210</v>
      </c>
      <c r="E284" s="149" t="s">
        <v>525</v>
      </c>
      <c r="F284" s="96" t="s">
        <v>667</v>
      </c>
      <c r="G284" s="109">
        <v>200</v>
      </c>
      <c r="H284" s="109">
        <v>0</v>
      </c>
      <c r="I284" s="469"/>
    </row>
    <row r="285" spans="1:10">
      <c r="A285" s="79" t="s">
        <v>256</v>
      </c>
      <c r="B285" s="103">
        <v>934</v>
      </c>
      <c r="C285" s="106" t="s">
        <v>218</v>
      </c>
      <c r="D285" s="106" t="s">
        <v>211</v>
      </c>
      <c r="E285" s="103"/>
      <c r="F285" s="106"/>
      <c r="G285" s="107">
        <f>G286+G289</f>
        <v>1529.44991</v>
      </c>
      <c r="H285" s="107">
        <f>H300+H303</f>
        <v>1529.44991</v>
      </c>
      <c r="I285" s="469"/>
    </row>
    <row r="286" spans="1:10">
      <c r="A286" s="77" t="s">
        <v>101</v>
      </c>
      <c r="B286" s="95">
        <v>934</v>
      </c>
      <c r="C286" s="95" t="s">
        <v>218</v>
      </c>
      <c r="D286" s="95" t="s">
        <v>211</v>
      </c>
      <c r="E286" s="96" t="s">
        <v>1213</v>
      </c>
      <c r="F286" s="95"/>
      <c r="G286" s="109">
        <f>G287+G288</f>
        <v>656.40000000000009</v>
      </c>
      <c r="H286" s="109">
        <f>H287+H288</f>
        <v>0</v>
      </c>
      <c r="I286" s="538">
        <f>G286</f>
        <v>656.40000000000009</v>
      </c>
      <c r="J286" s="85">
        <f>H286</f>
        <v>0</v>
      </c>
    </row>
    <row r="287" spans="1:10">
      <c r="A287" s="76" t="s">
        <v>600</v>
      </c>
      <c r="B287" s="96" t="s">
        <v>198</v>
      </c>
      <c r="C287" s="96" t="s">
        <v>218</v>
      </c>
      <c r="D287" s="96" t="s">
        <v>211</v>
      </c>
      <c r="E287" s="96" t="s">
        <v>1213</v>
      </c>
      <c r="F287" s="96" t="s">
        <v>423</v>
      </c>
      <c r="G287" s="109">
        <v>504.14746000000002</v>
      </c>
      <c r="H287" s="109">
        <v>0</v>
      </c>
      <c r="I287" s="469"/>
    </row>
    <row r="288" spans="1:10" ht="31.5">
      <c r="A288" s="195" t="s">
        <v>601</v>
      </c>
      <c r="B288" s="96" t="s">
        <v>198</v>
      </c>
      <c r="C288" s="96" t="s">
        <v>218</v>
      </c>
      <c r="D288" s="96" t="s">
        <v>211</v>
      </c>
      <c r="E288" s="96" t="s">
        <v>1213</v>
      </c>
      <c r="F288" s="96" t="s">
        <v>425</v>
      </c>
      <c r="G288" s="109">
        <v>152.25254000000001</v>
      </c>
      <c r="H288" s="109">
        <v>0</v>
      </c>
      <c r="I288" s="469"/>
    </row>
    <row r="289" spans="1:9" ht="31.5">
      <c r="A289" s="77" t="s">
        <v>378</v>
      </c>
      <c r="B289" s="96">
        <v>934</v>
      </c>
      <c r="C289" s="95" t="s">
        <v>218</v>
      </c>
      <c r="D289" s="95" t="s">
        <v>211</v>
      </c>
      <c r="E289" s="96" t="s">
        <v>1213</v>
      </c>
      <c r="F289" s="95"/>
      <c r="G289" s="108">
        <f>G290+G291</f>
        <v>873.04990999999995</v>
      </c>
      <c r="H289" s="108">
        <v>0</v>
      </c>
      <c r="I289" s="469"/>
    </row>
    <row r="290" spans="1:9">
      <c r="A290" s="76" t="s">
        <v>600</v>
      </c>
      <c r="B290" s="96">
        <v>934</v>
      </c>
      <c r="C290" s="96" t="s">
        <v>218</v>
      </c>
      <c r="D290" s="96" t="s">
        <v>211</v>
      </c>
      <c r="E290" s="96" t="s">
        <v>1213</v>
      </c>
      <c r="F290" s="96" t="s">
        <v>423</v>
      </c>
      <c r="G290" s="109">
        <v>670.54525000000001</v>
      </c>
      <c r="H290" s="109">
        <v>0</v>
      </c>
      <c r="I290" s="469"/>
    </row>
    <row r="291" spans="1:9" ht="31.5">
      <c r="A291" s="195" t="s">
        <v>601</v>
      </c>
      <c r="B291" s="96">
        <v>934</v>
      </c>
      <c r="C291" s="96" t="s">
        <v>218</v>
      </c>
      <c r="D291" s="96" t="s">
        <v>211</v>
      </c>
      <c r="E291" s="96" t="s">
        <v>1213</v>
      </c>
      <c r="F291" s="96" t="s">
        <v>425</v>
      </c>
      <c r="G291" s="109">
        <v>202.50466</v>
      </c>
      <c r="H291" s="109">
        <v>0</v>
      </c>
      <c r="I291" s="469"/>
    </row>
    <row r="292" spans="1:9">
      <c r="A292" s="601" t="s">
        <v>724</v>
      </c>
      <c r="B292" s="103">
        <v>934</v>
      </c>
      <c r="C292" s="103" t="s">
        <v>218</v>
      </c>
      <c r="D292" s="103" t="s">
        <v>213</v>
      </c>
      <c r="E292" s="336"/>
      <c r="F292" s="103"/>
      <c r="G292" s="104">
        <f>G293</f>
        <v>15564.71155</v>
      </c>
      <c r="H292" s="104">
        <f>H306</f>
        <v>7745.2</v>
      </c>
      <c r="I292" s="469"/>
    </row>
    <row r="293" spans="1:9" ht="31.5">
      <c r="A293" s="221" t="s">
        <v>879</v>
      </c>
      <c r="B293" s="204" t="s">
        <v>198</v>
      </c>
      <c r="C293" s="200" t="s">
        <v>218</v>
      </c>
      <c r="D293" s="200" t="s">
        <v>213</v>
      </c>
      <c r="E293" s="200" t="s">
        <v>576</v>
      </c>
      <c r="F293" s="96"/>
      <c r="G293" s="109">
        <f>G294+G295+G297</f>
        <v>15564.71155</v>
      </c>
      <c r="H293" s="109">
        <f>H294+H295+H297</f>
        <v>0</v>
      </c>
      <c r="I293" s="469"/>
    </row>
    <row r="294" spans="1:9">
      <c r="A294" s="76" t="s">
        <v>340</v>
      </c>
      <c r="B294" s="96">
        <v>934</v>
      </c>
      <c r="C294" s="96" t="s">
        <v>218</v>
      </c>
      <c r="D294" s="96" t="s">
        <v>213</v>
      </c>
      <c r="E294" s="149" t="s">
        <v>525</v>
      </c>
      <c r="F294" s="96" t="s">
        <v>341</v>
      </c>
      <c r="G294" s="109">
        <v>3895.7292699999998</v>
      </c>
      <c r="H294" s="109">
        <v>0</v>
      </c>
      <c r="I294" s="469"/>
    </row>
    <row r="295" spans="1:9" ht="31.5">
      <c r="A295" s="77" t="s">
        <v>704</v>
      </c>
      <c r="B295" s="95">
        <v>934</v>
      </c>
      <c r="C295" s="95" t="s">
        <v>218</v>
      </c>
      <c r="D295" s="95" t="s">
        <v>213</v>
      </c>
      <c r="E295" s="587" t="s">
        <v>706</v>
      </c>
      <c r="F295" s="96"/>
      <c r="G295" s="109">
        <f>G296</f>
        <v>7745.2</v>
      </c>
      <c r="H295" s="109">
        <f>H296</f>
        <v>0</v>
      </c>
      <c r="I295" s="469"/>
    </row>
    <row r="296" spans="1:9" ht="47.25">
      <c r="A296" s="76" t="s">
        <v>339</v>
      </c>
      <c r="B296" s="96">
        <v>934</v>
      </c>
      <c r="C296" s="96" t="s">
        <v>218</v>
      </c>
      <c r="D296" s="96" t="s">
        <v>213</v>
      </c>
      <c r="E296" s="588" t="s">
        <v>706</v>
      </c>
      <c r="F296" s="96" t="s">
        <v>409</v>
      </c>
      <c r="G296" s="109">
        <v>7745.2</v>
      </c>
      <c r="H296" s="109">
        <v>0</v>
      </c>
      <c r="I296" s="469"/>
    </row>
    <row r="297" spans="1:9" ht="31.5">
      <c r="A297" s="77" t="s">
        <v>716</v>
      </c>
      <c r="B297" s="95">
        <v>934</v>
      </c>
      <c r="C297" s="95" t="s">
        <v>218</v>
      </c>
      <c r="D297" s="96" t="s">
        <v>213</v>
      </c>
      <c r="E297" s="587" t="s">
        <v>706</v>
      </c>
      <c r="F297" s="95"/>
      <c r="G297" s="108">
        <f>G298</f>
        <v>3923.7822799999999</v>
      </c>
      <c r="H297" s="108">
        <f>H298</f>
        <v>0</v>
      </c>
      <c r="I297" s="469"/>
    </row>
    <row r="298" spans="1:9" ht="47.25">
      <c r="A298" s="76" t="s">
        <v>339</v>
      </c>
      <c r="B298" s="96">
        <v>934</v>
      </c>
      <c r="C298" s="96" t="s">
        <v>218</v>
      </c>
      <c r="D298" s="96" t="s">
        <v>213</v>
      </c>
      <c r="E298" s="588" t="s">
        <v>706</v>
      </c>
      <c r="F298" s="96" t="s">
        <v>409</v>
      </c>
      <c r="G298" s="109">
        <v>3923.7822799999999</v>
      </c>
      <c r="H298" s="109">
        <v>0</v>
      </c>
      <c r="I298" s="469"/>
    </row>
    <row r="299" spans="1:9">
      <c r="A299" s="76" t="s">
        <v>452</v>
      </c>
      <c r="B299" s="95">
        <v>934</v>
      </c>
      <c r="C299" s="95" t="s">
        <v>218</v>
      </c>
      <c r="D299" s="95"/>
      <c r="E299" s="588" t="s">
        <v>1</v>
      </c>
      <c r="F299" s="96"/>
      <c r="G299" s="109">
        <f>G306+G300+G303</f>
        <v>0</v>
      </c>
      <c r="H299" s="109">
        <f>H306+H300+H303</f>
        <v>9274.6499100000001</v>
      </c>
      <c r="I299" s="469"/>
    </row>
    <row r="300" spans="1:9">
      <c r="A300" s="77" t="s">
        <v>101</v>
      </c>
      <c r="B300" s="95">
        <v>934</v>
      </c>
      <c r="C300" s="95" t="s">
        <v>218</v>
      </c>
      <c r="D300" s="95" t="s">
        <v>211</v>
      </c>
      <c r="E300" s="96" t="s">
        <v>526</v>
      </c>
      <c r="F300" s="95"/>
      <c r="G300" s="109">
        <f>G301+G302</f>
        <v>0</v>
      </c>
      <c r="H300" s="109">
        <f>H301+H302</f>
        <v>656.40000000000009</v>
      </c>
      <c r="I300" s="469"/>
    </row>
    <row r="301" spans="1:9">
      <c r="A301" s="76" t="s">
        <v>600</v>
      </c>
      <c r="B301" s="96" t="s">
        <v>198</v>
      </c>
      <c r="C301" s="96" t="s">
        <v>218</v>
      </c>
      <c r="D301" s="96" t="s">
        <v>211</v>
      </c>
      <c r="E301" s="96" t="s">
        <v>526</v>
      </c>
      <c r="F301" s="96" t="s">
        <v>423</v>
      </c>
      <c r="G301" s="109">
        <v>0</v>
      </c>
      <c r="H301" s="109">
        <v>504.14746000000002</v>
      </c>
      <c r="I301" s="469"/>
    </row>
    <row r="302" spans="1:9" ht="31.5">
      <c r="A302" s="195" t="s">
        <v>601</v>
      </c>
      <c r="B302" s="96" t="s">
        <v>198</v>
      </c>
      <c r="C302" s="96" t="s">
        <v>218</v>
      </c>
      <c r="D302" s="96" t="s">
        <v>211</v>
      </c>
      <c r="E302" s="96" t="s">
        <v>526</v>
      </c>
      <c r="F302" s="96" t="s">
        <v>425</v>
      </c>
      <c r="G302" s="109">
        <v>0</v>
      </c>
      <c r="H302" s="109">
        <v>152.25254000000001</v>
      </c>
      <c r="I302" s="469"/>
    </row>
    <row r="303" spans="1:9" ht="31.5">
      <c r="A303" s="77" t="s">
        <v>378</v>
      </c>
      <c r="B303" s="96">
        <v>934</v>
      </c>
      <c r="C303" s="95" t="s">
        <v>218</v>
      </c>
      <c r="D303" s="95" t="s">
        <v>211</v>
      </c>
      <c r="E303" s="96" t="s">
        <v>526</v>
      </c>
      <c r="F303" s="95"/>
      <c r="G303" s="108">
        <f>G304+G305</f>
        <v>0</v>
      </c>
      <c r="H303" s="108">
        <f>H304+H305</f>
        <v>873.04990999999995</v>
      </c>
      <c r="I303" s="469"/>
    </row>
    <row r="304" spans="1:9">
      <c r="A304" s="76" t="s">
        <v>600</v>
      </c>
      <c r="B304" s="96">
        <v>934</v>
      </c>
      <c r="C304" s="96" t="s">
        <v>218</v>
      </c>
      <c r="D304" s="96" t="s">
        <v>211</v>
      </c>
      <c r="E304" s="96" t="s">
        <v>526</v>
      </c>
      <c r="F304" s="96" t="s">
        <v>423</v>
      </c>
      <c r="G304" s="109">
        <v>0</v>
      </c>
      <c r="H304" s="109">
        <v>670.54525000000001</v>
      </c>
      <c r="I304" s="469"/>
    </row>
    <row r="305" spans="1:9" ht="31.5">
      <c r="A305" s="195" t="s">
        <v>601</v>
      </c>
      <c r="B305" s="96">
        <v>934</v>
      </c>
      <c r="C305" s="96" t="s">
        <v>218</v>
      </c>
      <c r="D305" s="96" t="s">
        <v>211</v>
      </c>
      <c r="E305" s="96" t="s">
        <v>526</v>
      </c>
      <c r="F305" s="96" t="s">
        <v>425</v>
      </c>
      <c r="G305" s="109">
        <v>0</v>
      </c>
      <c r="H305" s="109">
        <v>202.50466</v>
      </c>
      <c r="I305" s="469"/>
    </row>
    <row r="306" spans="1:9" ht="31.5">
      <c r="A306" s="77" t="s">
        <v>704</v>
      </c>
      <c r="B306" s="95">
        <v>934</v>
      </c>
      <c r="C306" s="95" t="s">
        <v>218</v>
      </c>
      <c r="D306" s="95" t="s">
        <v>213</v>
      </c>
      <c r="E306" s="587" t="s">
        <v>1196</v>
      </c>
      <c r="F306" s="96"/>
      <c r="G306" s="109">
        <f>G307</f>
        <v>0</v>
      </c>
      <c r="H306" s="109">
        <f>H307</f>
        <v>7745.2</v>
      </c>
      <c r="I306" s="469"/>
    </row>
    <row r="307" spans="1:9" ht="47.25">
      <c r="A307" s="76" t="s">
        <v>339</v>
      </c>
      <c r="B307" s="96">
        <v>934</v>
      </c>
      <c r="C307" s="96" t="s">
        <v>218</v>
      </c>
      <c r="D307" s="96" t="s">
        <v>213</v>
      </c>
      <c r="E307" s="588" t="s">
        <v>1196</v>
      </c>
      <c r="F307" s="96" t="s">
        <v>409</v>
      </c>
      <c r="G307" s="109">
        <v>0</v>
      </c>
      <c r="H307" s="109">
        <v>7745.2</v>
      </c>
      <c r="I307" s="469"/>
    </row>
    <row r="308" spans="1:9" s="92" customFormat="1">
      <c r="A308" s="80" t="s">
        <v>336</v>
      </c>
      <c r="B308" s="103">
        <v>934</v>
      </c>
      <c r="C308" s="103" t="s">
        <v>217</v>
      </c>
      <c r="D308" s="103"/>
      <c r="E308" s="113"/>
      <c r="F308" s="103"/>
      <c r="G308" s="104">
        <f t="shared" ref="G308:H311" si="14">G309</f>
        <v>609.33486000000005</v>
      </c>
      <c r="H308" s="104">
        <f t="shared" si="14"/>
        <v>0</v>
      </c>
      <c r="I308" s="469"/>
    </row>
    <row r="309" spans="1:9" s="91" customFormat="1">
      <c r="A309" s="79" t="s">
        <v>235</v>
      </c>
      <c r="B309" s="103">
        <v>934</v>
      </c>
      <c r="C309" s="106" t="s">
        <v>217</v>
      </c>
      <c r="D309" s="106" t="s">
        <v>211</v>
      </c>
      <c r="E309" s="103"/>
      <c r="F309" s="106"/>
      <c r="G309" s="107">
        <f t="shared" si="14"/>
        <v>609.33486000000005</v>
      </c>
      <c r="H309" s="107">
        <f t="shared" si="14"/>
        <v>0</v>
      </c>
      <c r="I309" s="469"/>
    </row>
    <row r="310" spans="1:9" s="90" customFormat="1" ht="47.25">
      <c r="A310" s="79" t="s">
        <v>776</v>
      </c>
      <c r="B310" s="96">
        <v>934</v>
      </c>
      <c r="C310" s="95" t="s">
        <v>217</v>
      </c>
      <c r="D310" s="95" t="s">
        <v>211</v>
      </c>
      <c r="E310" s="344" t="s">
        <v>527</v>
      </c>
      <c r="F310" s="106"/>
      <c r="G310" s="107">
        <f t="shared" si="14"/>
        <v>609.33486000000005</v>
      </c>
      <c r="H310" s="107">
        <f t="shared" si="14"/>
        <v>0</v>
      </c>
      <c r="I310" s="469"/>
    </row>
    <row r="311" spans="1:9" s="90" customFormat="1" ht="31.5">
      <c r="A311" s="188" t="s">
        <v>931</v>
      </c>
      <c r="B311" s="96">
        <v>934</v>
      </c>
      <c r="C311" s="95" t="s">
        <v>217</v>
      </c>
      <c r="D311" s="95" t="s">
        <v>211</v>
      </c>
      <c r="E311" s="204" t="s">
        <v>504</v>
      </c>
      <c r="F311" s="95"/>
      <c r="G311" s="108">
        <f t="shared" si="14"/>
        <v>609.33486000000005</v>
      </c>
      <c r="H311" s="108">
        <f t="shared" si="14"/>
        <v>0</v>
      </c>
      <c r="I311" s="469"/>
    </row>
    <row r="312" spans="1:9" s="91" customFormat="1" ht="31.5">
      <c r="A312" s="221" t="s">
        <v>932</v>
      </c>
      <c r="B312" s="96">
        <v>934</v>
      </c>
      <c r="C312" s="96" t="s">
        <v>217</v>
      </c>
      <c r="D312" s="96" t="s">
        <v>211</v>
      </c>
      <c r="E312" s="204" t="s">
        <v>504</v>
      </c>
      <c r="F312" s="96"/>
      <c r="G312" s="109">
        <f>G313</f>
        <v>609.33486000000005</v>
      </c>
      <c r="H312" s="109">
        <f>H313</f>
        <v>0</v>
      </c>
      <c r="I312" s="469"/>
    </row>
    <row r="313" spans="1:9" ht="47.25">
      <c r="A313" s="76" t="s">
        <v>339</v>
      </c>
      <c r="B313" s="96">
        <v>934</v>
      </c>
      <c r="C313" s="96" t="s">
        <v>217</v>
      </c>
      <c r="D313" s="96" t="s">
        <v>211</v>
      </c>
      <c r="E313" s="204" t="s">
        <v>504</v>
      </c>
      <c r="F313" s="96" t="s">
        <v>409</v>
      </c>
      <c r="G313" s="109">
        <v>609.33486000000005</v>
      </c>
      <c r="H313" s="109">
        <v>0</v>
      </c>
      <c r="I313" s="469"/>
    </row>
    <row r="314" spans="1:9" ht="31.5">
      <c r="A314" s="80" t="s">
        <v>153</v>
      </c>
      <c r="B314" s="103">
        <v>934</v>
      </c>
      <c r="C314" s="103" t="s">
        <v>223</v>
      </c>
      <c r="D314" s="103"/>
      <c r="E314" s="103"/>
      <c r="F314" s="103"/>
      <c r="G314" s="104">
        <f>G315</f>
        <v>11340.5401</v>
      </c>
      <c r="H314" s="104">
        <f>H315</f>
        <v>11363.952600000001</v>
      </c>
      <c r="I314" s="469"/>
    </row>
    <row r="315" spans="1:9" s="92" customFormat="1">
      <c r="A315" s="79" t="s">
        <v>73</v>
      </c>
      <c r="B315" s="106" t="s">
        <v>198</v>
      </c>
      <c r="C315" s="106" t="s">
        <v>223</v>
      </c>
      <c r="D315" s="106" t="s">
        <v>213</v>
      </c>
      <c r="E315" s="103"/>
      <c r="F315" s="106"/>
      <c r="G315" s="107">
        <f>G316+G319+G323</f>
        <v>11340.5401</v>
      </c>
      <c r="H315" s="107">
        <f>H316+H319+H323</f>
        <v>11363.952600000001</v>
      </c>
      <c r="I315" s="469"/>
    </row>
    <row r="316" spans="1:9" s="92" customFormat="1" ht="39.75" customHeight="1">
      <c r="A316" s="614" t="s">
        <v>781</v>
      </c>
      <c r="B316" s="615">
        <v>934</v>
      </c>
      <c r="C316" s="615">
        <v>14</v>
      </c>
      <c r="D316" s="616" t="s">
        <v>213</v>
      </c>
      <c r="E316" s="616" t="s">
        <v>755</v>
      </c>
      <c r="F316" s="615"/>
      <c r="G316" s="617">
        <f>G317</f>
        <v>113.0228</v>
      </c>
      <c r="H316" s="193">
        <f>H317</f>
        <v>0</v>
      </c>
      <c r="I316" s="469"/>
    </row>
    <row r="317" spans="1:9" s="92" customFormat="1">
      <c r="A317" s="503" t="s">
        <v>881</v>
      </c>
      <c r="B317" s="474">
        <v>934</v>
      </c>
      <c r="C317" s="474">
        <v>14</v>
      </c>
      <c r="D317" s="504" t="s">
        <v>213</v>
      </c>
      <c r="E317" s="149" t="s">
        <v>755</v>
      </c>
      <c r="F317" s="474"/>
      <c r="G317" s="534">
        <f>G318</f>
        <v>113.0228</v>
      </c>
      <c r="H317" s="109">
        <f>H318</f>
        <v>0</v>
      </c>
      <c r="I317" s="469"/>
    </row>
    <row r="318" spans="1:9" s="92" customFormat="1">
      <c r="A318" s="503" t="s">
        <v>399</v>
      </c>
      <c r="B318" s="474">
        <v>934</v>
      </c>
      <c r="C318" s="474">
        <v>14</v>
      </c>
      <c r="D318" s="504" t="s">
        <v>213</v>
      </c>
      <c r="E318" s="149" t="s">
        <v>755</v>
      </c>
      <c r="F318" s="474">
        <v>540</v>
      </c>
      <c r="G318" s="534">
        <v>113.0228</v>
      </c>
      <c r="H318" s="109"/>
      <c r="I318" s="469"/>
    </row>
    <row r="319" spans="1:9" s="92" customFormat="1" ht="47.25">
      <c r="A319" s="614" t="s">
        <v>776</v>
      </c>
      <c r="B319" s="175">
        <v>934</v>
      </c>
      <c r="C319" s="175" t="s">
        <v>223</v>
      </c>
      <c r="D319" s="175" t="s">
        <v>213</v>
      </c>
      <c r="E319" s="175" t="s">
        <v>527</v>
      </c>
      <c r="F319" s="175"/>
      <c r="G319" s="177">
        <f>G320</f>
        <v>1000</v>
      </c>
      <c r="H319" s="177">
        <f>H320</f>
        <v>0</v>
      </c>
      <c r="I319" s="469"/>
    </row>
    <row r="320" spans="1:9" s="92" customFormat="1" ht="31.5">
      <c r="A320" s="178" t="s">
        <v>777</v>
      </c>
      <c r="B320" s="186">
        <v>934</v>
      </c>
      <c r="C320" s="186" t="s">
        <v>223</v>
      </c>
      <c r="D320" s="186" t="s">
        <v>213</v>
      </c>
      <c r="E320" s="186" t="s">
        <v>498</v>
      </c>
      <c r="F320" s="186"/>
      <c r="G320" s="194">
        <f>G322</f>
        <v>1000</v>
      </c>
      <c r="H320" s="194">
        <f>H321</f>
        <v>0</v>
      </c>
      <c r="I320" s="469"/>
    </row>
    <row r="321" spans="1:10" s="92" customFormat="1">
      <c r="A321" s="76" t="s">
        <v>880</v>
      </c>
      <c r="B321" s="96">
        <v>934</v>
      </c>
      <c r="C321" s="96" t="s">
        <v>223</v>
      </c>
      <c r="D321" s="96" t="s">
        <v>213</v>
      </c>
      <c r="E321" s="96" t="s">
        <v>858</v>
      </c>
      <c r="F321" s="149"/>
      <c r="G321" s="148">
        <f>G322</f>
        <v>1000</v>
      </c>
      <c r="H321" s="148">
        <f>H322</f>
        <v>0</v>
      </c>
      <c r="I321" s="469"/>
    </row>
    <row r="322" spans="1:10" s="92" customFormat="1">
      <c r="A322" s="76" t="s">
        <v>399</v>
      </c>
      <c r="B322" s="96">
        <v>934</v>
      </c>
      <c r="C322" s="96" t="s">
        <v>223</v>
      </c>
      <c r="D322" s="96" t="s">
        <v>213</v>
      </c>
      <c r="E322" s="96" t="s">
        <v>859</v>
      </c>
      <c r="F322" s="96" t="s">
        <v>410</v>
      </c>
      <c r="G322" s="109">
        <v>1000</v>
      </c>
      <c r="H322" s="109"/>
      <c r="I322" s="469"/>
    </row>
    <row r="323" spans="1:10" s="92" customFormat="1" ht="31.5">
      <c r="A323" s="192" t="s">
        <v>1114</v>
      </c>
      <c r="B323" s="615">
        <v>934</v>
      </c>
      <c r="C323" s="615">
        <v>14</v>
      </c>
      <c r="D323" s="616" t="s">
        <v>213</v>
      </c>
      <c r="E323" s="184" t="s">
        <v>634</v>
      </c>
      <c r="F323" s="184"/>
      <c r="G323" s="193">
        <f>G324</f>
        <v>10227.5173</v>
      </c>
      <c r="H323" s="193">
        <f>H324</f>
        <v>11363.952600000001</v>
      </c>
      <c r="I323" s="469"/>
    </row>
    <row r="324" spans="1:10" s="91" customFormat="1" ht="59.25" customHeight="1">
      <c r="A324" s="206" t="s">
        <v>882</v>
      </c>
      <c r="B324" s="662">
        <v>934</v>
      </c>
      <c r="C324" s="662">
        <v>14</v>
      </c>
      <c r="D324" s="663" t="s">
        <v>213</v>
      </c>
      <c r="E324" s="204" t="s">
        <v>634</v>
      </c>
      <c r="F324" s="200"/>
      <c r="G324" s="201">
        <f>G325+G327</f>
        <v>10227.5173</v>
      </c>
      <c r="H324" s="201">
        <f>H325+H327</f>
        <v>11363.952600000001</v>
      </c>
      <c r="I324" s="538" t="s">
        <v>749</v>
      </c>
      <c r="J324" s="596"/>
    </row>
    <row r="325" spans="1:10" ht="47.25">
      <c r="A325" s="77" t="s">
        <v>1195</v>
      </c>
      <c r="B325" s="98">
        <v>934</v>
      </c>
      <c r="C325" s="96" t="s">
        <v>223</v>
      </c>
      <c r="D325" s="96" t="s">
        <v>213</v>
      </c>
      <c r="E325" s="230" t="s">
        <v>634</v>
      </c>
      <c r="F325" s="96"/>
      <c r="G325" s="109">
        <f>G326</f>
        <v>10217.299999999999</v>
      </c>
      <c r="H325" s="109">
        <f>H326</f>
        <v>11352.6</v>
      </c>
      <c r="I325" s="469"/>
    </row>
    <row r="326" spans="1:10" s="91" customFormat="1">
      <c r="A326" s="76" t="s">
        <v>399</v>
      </c>
      <c r="B326" s="98">
        <v>934</v>
      </c>
      <c r="C326" s="96" t="s">
        <v>223</v>
      </c>
      <c r="D326" s="96" t="s">
        <v>213</v>
      </c>
      <c r="E326" s="230" t="s">
        <v>634</v>
      </c>
      <c r="F326" s="96" t="s">
        <v>410</v>
      </c>
      <c r="G326" s="109">
        <v>10217.299999999999</v>
      </c>
      <c r="H326" s="109">
        <v>11352.6</v>
      </c>
      <c r="I326" s="469"/>
    </row>
    <row r="327" spans="1:10" s="91" customFormat="1" ht="47.25">
      <c r="A327" s="77" t="s">
        <v>1116</v>
      </c>
      <c r="B327" s="97">
        <v>934</v>
      </c>
      <c r="C327" s="95" t="s">
        <v>223</v>
      </c>
      <c r="D327" s="95" t="s">
        <v>213</v>
      </c>
      <c r="E327" s="230" t="s">
        <v>634</v>
      </c>
      <c r="F327" s="95"/>
      <c r="G327" s="109">
        <f>G328</f>
        <v>10.2173</v>
      </c>
      <c r="H327" s="109">
        <f>H328</f>
        <v>11.352600000000001</v>
      </c>
      <c r="I327" s="469"/>
    </row>
    <row r="328" spans="1:10" s="91" customFormat="1">
      <c r="A328" s="76" t="s">
        <v>399</v>
      </c>
      <c r="B328" s="98">
        <v>934</v>
      </c>
      <c r="C328" s="96" t="s">
        <v>223</v>
      </c>
      <c r="D328" s="96" t="s">
        <v>213</v>
      </c>
      <c r="E328" s="230" t="s">
        <v>634</v>
      </c>
      <c r="F328" s="96" t="s">
        <v>410</v>
      </c>
      <c r="G328" s="109">
        <v>10.2173</v>
      </c>
      <c r="H328" s="109">
        <v>11.352600000000001</v>
      </c>
      <c r="I328" s="469"/>
    </row>
    <row r="329" spans="1:10" s="92" customFormat="1">
      <c r="A329" s="123" t="s">
        <v>111</v>
      </c>
      <c r="B329" s="100" t="s">
        <v>112</v>
      </c>
      <c r="C329" s="100"/>
      <c r="D329" s="100"/>
      <c r="E329" s="100"/>
      <c r="F329" s="100"/>
      <c r="G329" s="101">
        <f>G330+G429</f>
        <v>772605.0790100001</v>
      </c>
      <c r="H329" s="101">
        <f>H330+H429</f>
        <v>794052.57926999999</v>
      </c>
      <c r="I329" s="470"/>
    </row>
    <row r="330" spans="1:10">
      <c r="A330" s="80" t="s">
        <v>396</v>
      </c>
      <c r="B330" s="103" t="s">
        <v>112</v>
      </c>
      <c r="C330" s="103" t="s">
        <v>212</v>
      </c>
      <c r="D330" s="103"/>
      <c r="E330" s="103"/>
      <c r="F330" s="103"/>
      <c r="G330" s="104">
        <f>G331+G345+G381+G393+G404</f>
        <v>769605.0790100001</v>
      </c>
      <c r="H330" s="104">
        <f>H331+H345+H381+H393+H404</f>
        <v>791052.57926999999</v>
      </c>
      <c r="I330" s="470"/>
    </row>
    <row r="331" spans="1:10">
      <c r="A331" s="80" t="s">
        <v>345</v>
      </c>
      <c r="B331" s="103" t="s">
        <v>112</v>
      </c>
      <c r="C331" s="103" t="s">
        <v>212</v>
      </c>
      <c r="D331" s="103" t="s">
        <v>210</v>
      </c>
      <c r="E331" s="103"/>
      <c r="F331" s="103"/>
      <c r="G331" s="122">
        <f>G332+G335</f>
        <v>126896.32326</v>
      </c>
      <c r="H331" s="122">
        <f>H332+H335</f>
        <v>126696.32326</v>
      </c>
      <c r="I331" s="470"/>
    </row>
    <row r="332" spans="1:10" ht="54.75" customHeight="1">
      <c r="A332" s="614" t="s">
        <v>771</v>
      </c>
      <c r="B332" s="634" t="s">
        <v>112</v>
      </c>
      <c r="C332" s="634" t="s">
        <v>212</v>
      </c>
      <c r="D332" s="634" t="s">
        <v>210</v>
      </c>
      <c r="E332" s="634" t="s">
        <v>517</v>
      </c>
      <c r="F332" s="175"/>
      <c r="G332" s="177">
        <f>G333</f>
        <v>200</v>
      </c>
      <c r="H332" s="177">
        <f>H333</f>
        <v>0</v>
      </c>
      <c r="I332" s="470"/>
    </row>
    <row r="333" spans="1:10" ht="37.5" customHeight="1">
      <c r="A333" s="173" t="s">
        <v>877</v>
      </c>
      <c r="B333" s="174">
        <v>934</v>
      </c>
      <c r="C333" s="175" t="s">
        <v>212</v>
      </c>
      <c r="D333" s="175" t="s">
        <v>210</v>
      </c>
      <c r="E333" s="175" t="s">
        <v>517</v>
      </c>
      <c r="F333" s="175"/>
      <c r="G333" s="177">
        <f>G334</f>
        <v>200</v>
      </c>
      <c r="H333" s="177">
        <f>H334</f>
        <v>0</v>
      </c>
      <c r="I333" s="470"/>
    </row>
    <row r="334" spans="1:10" ht="22.5" customHeight="1">
      <c r="A334" s="76" t="s">
        <v>263</v>
      </c>
      <c r="B334" s="98">
        <v>934</v>
      </c>
      <c r="C334" s="96" t="s">
        <v>212</v>
      </c>
      <c r="D334" s="96" t="s">
        <v>210</v>
      </c>
      <c r="E334" s="149" t="s">
        <v>517</v>
      </c>
      <c r="F334" s="96" t="s">
        <v>260</v>
      </c>
      <c r="G334" s="121">
        <v>200</v>
      </c>
      <c r="H334" s="121"/>
      <c r="I334" s="470"/>
    </row>
    <row r="335" spans="1:10" s="91" customFormat="1">
      <c r="A335" s="169" t="s">
        <v>452</v>
      </c>
      <c r="B335" s="149" t="s">
        <v>112</v>
      </c>
      <c r="C335" s="149" t="s">
        <v>212</v>
      </c>
      <c r="D335" s="149" t="s">
        <v>210</v>
      </c>
      <c r="E335" s="149" t="s">
        <v>1187</v>
      </c>
      <c r="F335" s="149"/>
      <c r="G335" s="148">
        <f>G336+G339+G342</f>
        <v>126696.32326</v>
      </c>
      <c r="H335" s="148">
        <f>H336+H339+H342</f>
        <v>126696.32326</v>
      </c>
      <c r="I335" s="470"/>
    </row>
    <row r="336" spans="1:10" s="91" customFormat="1" ht="31.5">
      <c r="A336" s="157" t="s">
        <v>383</v>
      </c>
      <c r="B336" s="190">
        <v>936</v>
      </c>
      <c r="C336" s="158" t="s">
        <v>212</v>
      </c>
      <c r="D336" s="158" t="s">
        <v>210</v>
      </c>
      <c r="E336" s="149" t="s">
        <v>782</v>
      </c>
      <c r="F336" s="158"/>
      <c r="G336" s="148">
        <f>G337+G338</f>
        <v>48496.094259999998</v>
      </c>
      <c r="H336" s="121">
        <f>H337+H338</f>
        <v>48496.094259999998</v>
      </c>
      <c r="I336" s="470"/>
    </row>
    <row r="337" spans="1:10" s="91" customFormat="1" ht="47.25">
      <c r="A337" s="76" t="s">
        <v>262</v>
      </c>
      <c r="B337" s="96" t="s">
        <v>112</v>
      </c>
      <c r="C337" s="96" t="s">
        <v>212</v>
      </c>
      <c r="D337" s="96" t="s">
        <v>210</v>
      </c>
      <c r="E337" s="149" t="s">
        <v>782</v>
      </c>
      <c r="F337" s="96" t="s">
        <v>408</v>
      </c>
      <c r="G337" s="199">
        <f>4928.97084+4971.79+78.03293+12772.39888+10718.16642+4313.7</f>
        <v>37783.059069999996</v>
      </c>
      <c r="H337" s="199">
        <f>4928.97084+4971.79+78.03293+12772.39888+10718.16642+4313.7</f>
        <v>37783.059069999996</v>
      </c>
      <c r="I337" s="470"/>
    </row>
    <row r="338" spans="1:10" s="91" customFormat="1" ht="47.25">
      <c r="A338" s="76" t="s">
        <v>339</v>
      </c>
      <c r="B338" s="96" t="s">
        <v>112</v>
      </c>
      <c r="C338" s="96" t="s">
        <v>212</v>
      </c>
      <c r="D338" s="96" t="s">
        <v>210</v>
      </c>
      <c r="E338" s="149" t="s">
        <v>782</v>
      </c>
      <c r="F338" s="96" t="s">
        <v>409</v>
      </c>
      <c r="G338" s="199">
        <f>2493.906+127.865+47.48051+4220.15029+3823.63339</f>
        <v>10713.035189999999</v>
      </c>
      <c r="H338" s="199">
        <f>2493.906+127.865+47.48051+4220.15029+3823.63339</f>
        <v>10713.035189999999</v>
      </c>
      <c r="I338" s="470"/>
    </row>
    <row r="339" spans="1:10" s="91" customFormat="1" ht="31.5">
      <c r="A339" s="157" t="s">
        <v>346</v>
      </c>
      <c r="B339" s="158" t="s">
        <v>112</v>
      </c>
      <c r="C339" s="158" t="s">
        <v>212</v>
      </c>
      <c r="D339" s="158" t="s">
        <v>210</v>
      </c>
      <c r="E339" s="149" t="s">
        <v>783</v>
      </c>
      <c r="F339" s="158"/>
      <c r="G339" s="148">
        <f>G340+G341</f>
        <v>74140.413</v>
      </c>
      <c r="H339" s="121">
        <f>H340+H341</f>
        <v>74140.413</v>
      </c>
      <c r="I339" s="470"/>
    </row>
    <row r="340" spans="1:10" s="91" customFormat="1">
      <c r="A340" s="169" t="s">
        <v>263</v>
      </c>
      <c r="B340" s="149" t="s">
        <v>112</v>
      </c>
      <c r="C340" s="149" t="s">
        <v>212</v>
      </c>
      <c r="D340" s="149" t="s">
        <v>210</v>
      </c>
      <c r="E340" s="149" t="s">
        <v>783</v>
      </c>
      <c r="F340" s="149" t="s">
        <v>260</v>
      </c>
      <c r="G340" s="148">
        <v>43166.832000000002</v>
      </c>
      <c r="H340" s="148">
        <v>43166.832000000002</v>
      </c>
      <c r="I340" s="470"/>
    </row>
    <row r="341" spans="1:10" s="91" customFormat="1">
      <c r="A341" s="169" t="s">
        <v>263</v>
      </c>
      <c r="B341" s="149" t="s">
        <v>112</v>
      </c>
      <c r="C341" s="149" t="s">
        <v>212</v>
      </c>
      <c r="D341" s="149" t="s">
        <v>210</v>
      </c>
      <c r="E341" s="149" t="s">
        <v>783</v>
      </c>
      <c r="F341" s="149" t="s">
        <v>341</v>
      </c>
      <c r="G341" s="148">
        <v>30973.580999999998</v>
      </c>
      <c r="H341" s="148">
        <v>30973.580999999998</v>
      </c>
      <c r="I341" s="470"/>
    </row>
    <row r="342" spans="1:10" s="91" customFormat="1" ht="63">
      <c r="A342" s="74" t="s">
        <v>789</v>
      </c>
      <c r="B342" s="149" t="s">
        <v>112</v>
      </c>
      <c r="C342" s="149" t="s">
        <v>212</v>
      </c>
      <c r="D342" s="149" t="s">
        <v>210</v>
      </c>
      <c r="E342" s="149" t="s">
        <v>1309</v>
      </c>
      <c r="F342" s="149"/>
      <c r="G342" s="148">
        <f>G343+G344</f>
        <v>4059.8159999999998</v>
      </c>
      <c r="H342" s="148">
        <f>H343+H344</f>
        <v>4059.8159999999998</v>
      </c>
      <c r="I342" s="470"/>
    </row>
    <row r="343" spans="1:10" s="91" customFormat="1">
      <c r="A343" s="169" t="s">
        <v>263</v>
      </c>
      <c r="B343" s="149" t="s">
        <v>112</v>
      </c>
      <c r="C343" s="149" t="s">
        <v>212</v>
      </c>
      <c r="D343" s="149" t="s">
        <v>210</v>
      </c>
      <c r="E343" s="149" t="s">
        <v>1309</v>
      </c>
      <c r="F343" s="149" t="s">
        <v>260</v>
      </c>
      <c r="G343" s="148">
        <v>1875.6</v>
      </c>
      <c r="H343" s="148">
        <f>G343</f>
        <v>1875.6</v>
      </c>
      <c r="I343" s="470"/>
    </row>
    <row r="344" spans="1:10" s="91" customFormat="1">
      <c r="A344" s="169" t="s">
        <v>340</v>
      </c>
      <c r="B344" s="149" t="s">
        <v>112</v>
      </c>
      <c r="C344" s="149" t="s">
        <v>212</v>
      </c>
      <c r="D344" s="149" t="s">
        <v>210</v>
      </c>
      <c r="E344" s="149" t="s">
        <v>1309</v>
      </c>
      <c r="F344" s="149" t="s">
        <v>341</v>
      </c>
      <c r="G344" s="148">
        <v>2184.2159999999999</v>
      </c>
      <c r="H344" s="148">
        <f>G344</f>
        <v>2184.2159999999999</v>
      </c>
      <c r="I344" s="470"/>
    </row>
    <row r="345" spans="1:10" s="91" customFormat="1">
      <c r="A345" s="79" t="s">
        <v>257</v>
      </c>
      <c r="B345" s="103" t="s">
        <v>112</v>
      </c>
      <c r="C345" s="106" t="s">
        <v>212</v>
      </c>
      <c r="D345" s="106" t="s">
        <v>211</v>
      </c>
      <c r="E345" s="103"/>
      <c r="F345" s="106"/>
      <c r="G345" s="107">
        <f>G346+G375+G378</f>
        <v>564346.3997500001</v>
      </c>
      <c r="H345" s="107">
        <f>H346+H375+H378</f>
        <v>568329.97695000004</v>
      </c>
      <c r="I345" s="537"/>
    </row>
    <row r="346" spans="1:10" s="91" customFormat="1">
      <c r="A346" s="79" t="s">
        <v>452</v>
      </c>
      <c r="B346" s="158" t="s">
        <v>112</v>
      </c>
      <c r="C346" s="158" t="s">
        <v>212</v>
      </c>
      <c r="D346" s="158" t="s">
        <v>211</v>
      </c>
      <c r="E346" s="103" t="s">
        <v>788</v>
      </c>
      <c r="F346" s="106"/>
      <c r="G346" s="107">
        <f>G347+G349+G351+G353+G355+G359+G361+G363+G367+G369+G371+G373+G357+G365</f>
        <v>562233.37695000006</v>
      </c>
      <c r="H346" s="107">
        <f>H347+H349+H351+H353+H355+H359+H361+H363+H367+H369+H371+H373+H357+H365</f>
        <v>568329.97695000004</v>
      </c>
      <c r="I346" s="537"/>
    </row>
    <row r="347" spans="1:10" ht="31.5">
      <c r="A347" s="157" t="s">
        <v>383</v>
      </c>
      <c r="B347" s="158" t="s">
        <v>112</v>
      </c>
      <c r="C347" s="158" t="s">
        <v>212</v>
      </c>
      <c r="D347" s="158" t="s">
        <v>211</v>
      </c>
      <c r="E347" s="149" t="s">
        <v>1192</v>
      </c>
      <c r="F347" s="250"/>
      <c r="G347" s="201">
        <f>G348</f>
        <v>64375.161950000009</v>
      </c>
      <c r="H347" s="201">
        <f>H348</f>
        <v>64375.161950000009</v>
      </c>
      <c r="I347" s="470"/>
    </row>
    <row r="348" spans="1:10" s="156" customFormat="1" ht="47.25">
      <c r="A348" s="76" t="s">
        <v>262</v>
      </c>
      <c r="B348" s="96" t="s">
        <v>112</v>
      </c>
      <c r="C348" s="96" t="s">
        <v>212</v>
      </c>
      <c r="D348" s="96" t="s">
        <v>211</v>
      </c>
      <c r="E348" s="149" t="s">
        <v>1192</v>
      </c>
      <c r="F348" s="96" t="s">
        <v>408</v>
      </c>
      <c r="G348" s="199">
        <f>68800+9511.34321-13936.18126</f>
        <v>64375.161950000009</v>
      </c>
      <c r="H348" s="199">
        <f>78311.34321-13936.18126</f>
        <v>64375.161950000009</v>
      </c>
      <c r="I348" s="470"/>
    </row>
    <row r="349" spans="1:10" ht="31.5">
      <c r="A349" s="77" t="s">
        <v>346</v>
      </c>
      <c r="B349" s="95" t="s">
        <v>112</v>
      </c>
      <c r="C349" s="95" t="s">
        <v>212</v>
      </c>
      <c r="D349" s="95" t="s">
        <v>211</v>
      </c>
      <c r="E349" s="96" t="s">
        <v>1193</v>
      </c>
      <c r="F349" s="95"/>
      <c r="G349" s="201">
        <f>G350</f>
        <v>10290.486999999999</v>
      </c>
      <c r="H349" s="201">
        <f>H350</f>
        <v>10290.486999999999</v>
      </c>
      <c r="I349" s="537"/>
      <c r="J349" s="85"/>
    </row>
    <row r="350" spans="1:10">
      <c r="A350" s="76" t="s">
        <v>263</v>
      </c>
      <c r="B350" s="96" t="s">
        <v>112</v>
      </c>
      <c r="C350" s="96" t="s">
        <v>212</v>
      </c>
      <c r="D350" s="96" t="s">
        <v>211</v>
      </c>
      <c r="E350" s="96" t="s">
        <v>1193</v>
      </c>
      <c r="F350" s="96" t="s">
        <v>260</v>
      </c>
      <c r="G350" s="199">
        <v>10290.486999999999</v>
      </c>
      <c r="H350" s="199">
        <v>10290.486999999999</v>
      </c>
      <c r="I350" s="470"/>
    </row>
    <row r="351" spans="1:10" ht="31.5">
      <c r="A351" s="77" t="s">
        <v>337</v>
      </c>
      <c r="B351" s="95" t="s">
        <v>112</v>
      </c>
      <c r="C351" s="95" t="s">
        <v>212</v>
      </c>
      <c r="D351" s="95" t="s">
        <v>211</v>
      </c>
      <c r="E351" s="96" t="s">
        <v>1194</v>
      </c>
      <c r="F351" s="95"/>
      <c r="G351" s="201">
        <f>G352</f>
        <v>268960.7</v>
      </c>
      <c r="H351" s="201">
        <f>H352</f>
        <v>268960.7</v>
      </c>
      <c r="I351" s="537"/>
      <c r="J351" s="85"/>
    </row>
    <row r="352" spans="1:10">
      <c r="A352" s="76" t="s">
        <v>263</v>
      </c>
      <c r="B352" s="96" t="s">
        <v>112</v>
      </c>
      <c r="C352" s="96" t="s">
        <v>212</v>
      </c>
      <c r="D352" s="96" t="s">
        <v>211</v>
      </c>
      <c r="E352" s="96" t="s">
        <v>1194</v>
      </c>
      <c r="F352" s="96" t="s">
        <v>260</v>
      </c>
      <c r="G352" s="199">
        <v>268960.7</v>
      </c>
      <c r="H352" s="199">
        <v>268960.7</v>
      </c>
      <c r="I352" s="470"/>
    </row>
    <row r="353" spans="1:10" ht="25.5" customHeight="1">
      <c r="A353" s="77" t="s">
        <v>237</v>
      </c>
      <c r="B353" s="96" t="s">
        <v>112</v>
      </c>
      <c r="C353" s="95" t="s">
        <v>212</v>
      </c>
      <c r="D353" s="95" t="s">
        <v>211</v>
      </c>
      <c r="E353" s="96" t="s">
        <v>813</v>
      </c>
      <c r="F353" s="95"/>
      <c r="G353" s="201">
        <f>G354</f>
        <v>5692.3</v>
      </c>
      <c r="H353" s="201">
        <f>H354</f>
        <v>5746.7</v>
      </c>
      <c r="I353" s="537"/>
      <c r="J353" s="85"/>
    </row>
    <row r="354" spans="1:10">
      <c r="A354" s="76" t="s">
        <v>263</v>
      </c>
      <c r="B354" s="96" t="s">
        <v>112</v>
      </c>
      <c r="C354" s="96" t="s">
        <v>212</v>
      </c>
      <c r="D354" s="96" t="s">
        <v>211</v>
      </c>
      <c r="E354" s="96" t="s">
        <v>1191</v>
      </c>
      <c r="F354" s="96" t="s">
        <v>260</v>
      </c>
      <c r="G354" s="199">
        <v>5692.3</v>
      </c>
      <c r="H354" s="199">
        <v>5746.7</v>
      </c>
      <c r="I354" s="470"/>
      <c r="J354" s="83"/>
    </row>
    <row r="355" spans="1:10" s="91" customFormat="1" ht="47.25">
      <c r="A355" s="76" t="s">
        <v>759</v>
      </c>
      <c r="B355" s="149" t="s">
        <v>112</v>
      </c>
      <c r="C355" s="158" t="s">
        <v>212</v>
      </c>
      <c r="D355" s="158" t="s">
        <v>211</v>
      </c>
      <c r="E355" s="149" t="s">
        <v>784</v>
      </c>
      <c r="F355" s="158"/>
      <c r="G355" s="201">
        <f>G356</f>
        <v>10644.2</v>
      </c>
      <c r="H355" s="201">
        <f>H356</f>
        <v>10644.2</v>
      </c>
      <c r="I355" s="470"/>
    </row>
    <row r="356" spans="1:10">
      <c r="A356" s="76" t="s">
        <v>263</v>
      </c>
      <c r="B356" s="96" t="s">
        <v>112</v>
      </c>
      <c r="C356" s="96" t="s">
        <v>212</v>
      </c>
      <c r="D356" s="96" t="s">
        <v>211</v>
      </c>
      <c r="E356" s="149" t="s">
        <v>784</v>
      </c>
      <c r="F356" s="96" t="s">
        <v>260</v>
      </c>
      <c r="G356" s="199">
        <v>10644.2</v>
      </c>
      <c r="H356" s="465">
        <v>10644.2</v>
      </c>
      <c r="I356" s="470"/>
    </row>
    <row r="357" spans="1:10" ht="47.25">
      <c r="A357" s="76" t="s">
        <v>759</v>
      </c>
      <c r="B357" s="149" t="s">
        <v>112</v>
      </c>
      <c r="C357" s="158" t="s">
        <v>212</v>
      </c>
      <c r="D357" s="158" t="s">
        <v>211</v>
      </c>
      <c r="E357" s="149" t="s">
        <v>784</v>
      </c>
      <c r="F357" s="158"/>
      <c r="G357" s="201">
        <f>G358</f>
        <v>10644.2</v>
      </c>
      <c r="H357" s="201">
        <f>H358</f>
        <v>10644.2</v>
      </c>
      <c r="I357" s="470"/>
    </row>
    <row r="358" spans="1:10">
      <c r="A358" s="76" t="s">
        <v>263</v>
      </c>
      <c r="B358" s="96" t="s">
        <v>112</v>
      </c>
      <c r="C358" s="96" t="s">
        <v>212</v>
      </c>
      <c r="D358" s="96" t="s">
        <v>211</v>
      </c>
      <c r="E358" s="149" t="s">
        <v>784</v>
      </c>
      <c r="F358" s="96" t="s">
        <v>260</v>
      </c>
      <c r="G358" s="199">
        <v>10644.2</v>
      </c>
      <c r="H358" s="465">
        <v>10644.2</v>
      </c>
      <c r="I358" s="470"/>
    </row>
    <row r="359" spans="1:10" ht="47.25">
      <c r="A359" s="76" t="s">
        <v>758</v>
      </c>
      <c r="B359" s="96" t="s">
        <v>112</v>
      </c>
      <c r="C359" s="96" t="s">
        <v>212</v>
      </c>
      <c r="D359" s="96" t="s">
        <v>211</v>
      </c>
      <c r="E359" s="96" t="s">
        <v>1013</v>
      </c>
      <c r="F359" s="95"/>
      <c r="G359" s="199">
        <f>G360</f>
        <v>26319.3</v>
      </c>
      <c r="H359" s="465">
        <f>H360</f>
        <v>26319.3</v>
      </c>
      <c r="I359" s="470"/>
    </row>
    <row r="360" spans="1:10">
      <c r="A360" s="76" t="s">
        <v>263</v>
      </c>
      <c r="B360" s="96" t="s">
        <v>112</v>
      </c>
      <c r="C360" s="96" t="s">
        <v>212</v>
      </c>
      <c r="D360" s="96" t="s">
        <v>211</v>
      </c>
      <c r="E360" s="96" t="s">
        <v>1013</v>
      </c>
      <c r="F360" s="96" t="s">
        <v>260</v>
      </c>
      <c r="G360" s="199">
        <v>26319.3</v>
      </c>
      <c r="H360" s="465">
        <v>26319.3</v>
      </c>
      <c r="I360" s="470"/>
    </row>
    <row r="361" spans="1:10" ht="47.25">
      <c r="A361" s="169" t="s">
        <v>672</v>
      </c>
      <c r="B361" s="158" t="s">
        <v>112</v>
      </c>
      <c r="C361" s="158" t="s">
        <v>212</v>
      </c>
      <c r="D361" s="158" t="s">
        <v>211</v>
      </c>
      <c r="E361" s="96" t="s">
        <v>1189</v>
      </c>
      <c r="F361" s="158"/>
      <c r="G361" s="121">
        <f>G362</f>
        <v>614</v>
      </c>
      <c r="H361" s="121">
        <f>H362</f>
        <v>614</v>
      </c>
      <c r="I361" s="537"/>
      <c r="J361" s="85"/>
    </row>
    <row r="362" spans="1:10">
      <c r="A362" s="76" t="s">
        <v>494</v>
      </c>
      <c r="B362" s="149" t="s">
        <v>112</v>
      </c>
      <c r="C362" s="149" t="s">
        <v>212</v>
      </c>
      <c r="D362" s="149" t="s">
        <v>211</v>
      </c>
      <c r="E362" s="96" t="s">
        <v>1190</v>
      </c>
      <c r="F362" s="158" t="s">
        <v>260</v>
      </c>
      <c r="G362" s="121">
        <v>614</v>
      </c>
      <c r="H362" s="199">
        <v>614</v>
      </c>
      <c r="I362" s="470"/>
    </row>
    <row r="363" spans="1:10" ht="47.25">
      <c r="A363" s="76" t="s">
        <v>712</v>
      </c>
      <c r="B363" s="158" t="s">
        <v>112</v>
      </c>
      <c r="C363" s="158" t="s">
        <v>212</v>
      </c>
      <c r="D363" s="158" t="s">
        <v>211</v>
      </c>
      <c r="E363" s="96" t="s">
        <v>785</v>
      </c>
      <c r="F363" s="158"/>
      <c r="G363" s="121">
        <f>G364</f>
        <v>90950.1</v>
      </c>
      <c r="H363" s="121">
        <f>H364</f>
        <v>90950.1</v>
      </c>
      <c r="I363" s="537"/>
      <c r="J363" s="85"/>
    </row>
    <row r="364" spans="1:10">
      <c r="A364" s="76" t="s">
        <v>494</v>
      </c>
      <c r="B364" s="149" t="s">
        <v>112</v>
      </c>
      <c r="C364" s="149" t="s">
        <v>212</v>
      </c>
      <c r="D364" s="149" t="s">
        <v>211</v>
      </c>
      <c r="E364" s="96" t="s">
        <v>785</v>
      </c>
      <c r="F364" s="158" t="s">
        <v>260</v>
      </c>
      <c r="G364" s="121">
        <v>90950.1</v>
      </c>
      <c r="H364" s="199">
        <v>90950.1</v>
      </c>
      <c r="I364" s="470"/>
    </row>
    <row r="365" spans="1:10" ht="47.25">
      <c r="A365" s="76" t="s">
        <v>712</v>
      </c>
      <c r="B365" s="158" t="s">
        <v>112</v>
      </c>
      <c r="C365" s="158" t="s">
        <v>212</v>
      </c>
      <c r="D365" s="158" t="s">
        <v>211</v>
      </c>
      <c r="E365" s="96" t="s">
        <v>785</v>
      </c>
      <c r="F365" s="158"/>
      <c r="G365" s="121">
        <f>G366</f>
        <v>1975.9</v>
      </c>
      <c r="H365" s="121">
        <f>H366</f>
        <v>1975.9</v>
      </c>
      <c r="I365" s="470"/>
    </row>
    <row r="366" spans="1:10">
      <c r="A366" s="76" t="s">
        <v>494</v>
      </c>
      <c r="B366" s="149" t="s">
        <v>112</v>
      </c>
      <c r="C366" s="149" t="s">
        <v>212</v>
      </c>
      <c r="D366" s="149" t="s">
        <v>211</v>
      </c>
      <c r="E366" s="96" t="s">
        <v>785</v>
      </c>
      <c r="F366" s="158" t="s">
        <v>260</v>
      </c>
      <c r="G366" s="121">
        <v>1975.9</v>
      </c>
      <c r="H366" s="199">
        <v>1975.9</v>
      </c>
      <c r="I366" s="470"/>
    </row>
    <row r="367" spans="1:10" ht="47.25">
      <c r="A367" s="76" t="s">
        <v>761</v>
      </c>
      <c r="B367" s="96" t="s">
        <v>112</v>
      </c>
      <c r="C367" s="96" t="s">
        <v>212</v>
      </c>
      <c r="D367" s="96" t="s">
        <v>211</v>
      </c>
      <c r="E367" s="149" t="s">
        <v>762</v>
      </c>
      <c r="F367" s="96"/>
      <c r="G367" s="148">
        <f>G368</f>
        <v>34384.9</v>
      </c>
      <c r="H367" s="199">
        <f>H368</f>
        <v>40427.1</v>
      </c>
      <c r="I367" s="470"/>
    </row>
    <row r="368" spans="1:10">
      <c r="A368" s="76" t="s">
        <v>263</v>
      </c>
      <c r="B368" s="96" t="s">
        <v>112</v>
      </c>
      <c r="C368" s="96" t="s">
        <v>212</v>
      </c>
      <c r="D368" s="96" t="s">
        <v>211</v>
      </c>
      <c r="E368" s="149" t="s">
        <v>762</v>
      </c>
      <c r="F368" s="96" t="s">
        <v>260</v>
      </c>
      <c r="G368" s="148">
        <v>34384.9</v>
      </c>
      <c r="H368" s="199">
        <v>40427.1</v>
      </c>
      <c r="I368" s="470" t="s">
        <v>791</v>
      </c>
    </row>
    <row r="369" spans="1:18" ht="47.25">
      <c r="A369" s="76" t="s">
        <v>761</v>
      </c>
      <c r="B369" s="96" t="s">
        <v>112</v>
      </c>
      <c r="C369" s="96" t="s">
        <v>212</v>
      </c>
      <c r="D369" s="96" t="s">
        <v>211</v>
      </c>
      <c r="E369" s="149" t="s">
        <v>1073</v>
      </c>
      <c r="F369" s="149"/>
      <c r="G369" s="199">
        <f>G370</f>
        <v>650.29999999999995</v>
      </c>
      <c r="H369" s="199">
        <f>H370</f>
        <v>650.29999999999995</v>
      </c>
      <c r="I369" s="470"/>
    </row>
    <row r="370" spans="1:18">
      <c r="A370" s="76" t="s">
        <v>263</v>
      </c>
      <c r="B370" s="96" t="s">
        <v>112</v>
      </c>
      <c r="C370" s="96" t="s">
        <v>212</v>
      </c>
      <c r="D370" s="96" t="s">
        <v>211</v>
      </c>
      <c r="E370" s="149" t="s">
        <v>1073</v>
      </c>
      <c r="F370" s="149" t="s">
        <v>260</v>
      </c>
      <c r="G370" s="199">
        <v>650.29999999999995</v>
      </c>
      <c r="H370" s="199">
        <v>650.29999999999995</v>
      </c>
      <c r="I370" s="470"/>
    </row>
    <row r="371" spans="1:18" ht="78.75">
      <c r="A371" s="76" t="s">
        <v>1005</v>
      </c>
      <c r="B371" s="149" t="s">
        <v>112</v>
      </c>
      <c r="C371" s="149" t="s">
        <v>212</v>
      </c>
      <c r="D371" s="149" t="s">
        <v>211</v>
      </c>
      <c r="E371" s="96" t="s">
        <v>1197</v>
      </c>
      <c r="F371" s="149"/>
      <c r="G371" s="199">
        <f>G372</f>
        <v>253.9</v>
      </c>
      <c r="H371" s="199">
        <f>H372</f>
        <v>253.9</v>
      </c>
      <c r="I371" s="470"/>
    </row>
    <row r="372" spans="1:18">
      <c r="A372" s="76" t="s">
        <v>494</v>
      </c>
      <c r="B372" s="149" t="s">
        <v>112</v>
      </c>
      <c r="C372" s="149" t="s">
        <v>212</v>
      </c>
      <c r="D372" s="149" t="s">
        <v>211</v>
      </c>
      <c r="E372" s="96" t="s">
        <v>1197</v>
      </c>
      <c r="F372" s="149" t="s">
        <v>260</v>
      </c>
      <c r="G372" s="199">
        <v>253.9</v>
      </c>
      <c r="H372" s="199">
        <v>253.9</v>
      </c>
      <c r="I372" s="470"/>
    </row>
    <row r="373" spans="1:18" ht="63">
      <c r="A373" s="74" t="s">
        <v>789</v>
      </c>
      <c r="B373" s="96" t="s">
        <v>112</v>
      </c>
      <c r="C373" s="96" t="s">
        <v>212</v>
      </c>
      <c r="D373" s="96" t="s">
        <v>211</v>
      </c>
      <c r="E373" s="149" t="s">
        <v>1310</v>
      </c>
      <c r="F373" s="96"/>
      <c r="G373" s="199">
        <f>G374</f>
        <v>36477.928</v>
      </c>
      <c r="H373" s="465">
        <f>H374</f>
        <v>36477.928</v>
      </c>
      <c r="I373" s="470"/>
    </row>
    <row r="374" spans="1:18">
      <c r="A374" s="76" t="s">
        <v>263</v>
      </c>
      <c r="B374" s="96" t="s">
        <v>112</v>
      </c>
      <c r="C374" s="96" t="s">
        <v>212</v>
      </c>
      <c r="D374" s="96" t="s">
        <v>211</v>
      </c>
      <c r="E374" s="149" t="s">
        <v>1310</v>
      </c>
      <c r="F374" s="96" t="s">
        <v>260</v>
      </c>
      <c r="G374" s="199">
        <f>31089.408+5388.52</f>
        <v>36477.928</v>
      </c>
      <c r="H374" s="465">
        <f>G374</f>
        <v>36477.928</v>
      </c>
      <c r="I374" s="470"/>
    </row>
    <row r="375" spans="1:18" ht="47.25">
      <c r="A375" s="763" t="s">
        <v>1052</v>
      </c>
      <c r="B375" s="184" t="s">
        <v>112</v>
      </c>
      <c r="C375" s="184" t="s">
        <v>212</v>
      </c>
      <c r="D375" s="184" t="s">
        <v>211</v>
      </c>
      <c r="E375" s="184" t="s">
        <v>1054</v>
      </c>
      <c r="F375" s="184"/>
      <c r="G375" s="193">
        <f>G376</f>
        <v>113.0228</v>
      </c>
      <c r="H375" s="193">
        <f>H376</f>
        <v>0</v>
      </c>
      <c r="I375" s="470"/>
    </row>
    <row r="376" spans="1:18" ht="31.5">
      <c r="A376" s="759" t="s">
        <v>1053</v>
      </c>
      <c r="B376" s="96" t="s">
        <v>112</v>
      </c>
      <c r="C376" s="96" t="s">
        <v>212</v>
      </c>
      <c r="D376" s="96" t="s">
        <v>211</v>
      </c>
      <c r="E376" s="204" t="s">
        <v>1054</v>
      </c>
      <c r="F376" s="204"/>
      <c r="G376" s="199">
        <f>G377</f>
        <v>113.0228</v>
      </c>
      <c r="H376" s="199">
        <f>H377</f>
        <v>0</v>
      </c>
      <c r="I376" s="470"/>
    </row>
    <row r="377" spans="1:18">
      <c r="A377" s="76" t="s">
        <v>494</v>
      </c>
      <c r="B377" s="96" t="s">
        <v>112</v>
      </c>
      <c r="C377" s="96" t="s">
        <v>212</v>
      </c>
      <c r="D377" s="96" t="s">
        <v>211</v>
      </c>
      <c r="E377" s="204" t="s">
        <v>1054</v>
      </c>
      <c r="F377" s="204" t="s">
        <v>260</v>
      </c>
      <c r="G377" s="199">
        <v>113.0228</v>
      </c>
      <c r="H377" s="199">
        <v>0</v>
      </c>
      <c r="I377" s="470"/>
    </row>
    <row r="378" spans="1:18" ht="31.5">
      <c r="A378" s="192" t="s">
        <v>1075</v>
      </c>
      <c r="B378" s="184" t="s">
        <v>112</v>
      </c>
      <c r="C378" s="184" t="s">
        <v>212</v>
      </c>
      <c r="D378" s="184" t="s">
        <v>211</v>
      </c>
      <c r="E378" s="184" t="s">
        <v>1103</v>
      </c>
      <c r="F378" s="184"/>
      <c r="G378" s="193">
        <f>G379</f>
        <v>2000</v>
      </c>
      <c r="H378" s="764">
        <f>H379</f>
        <v>0</v>
      </c>
      <c r="I378" s="470"/>
    </row>
    <row r="379" spans="1:18" ht="26.25">
      <c r="A379" s="1" t="s">
        <v>1105</v>
      </c>
      <c r="B379" s="96" t="s">
        <v>112</v>
      </c>
      <c r="C379" s="96" t="s">
        <v>212</v>
      </c>
      <c r="D379" s="96" t="s">
        <v>211</v>
      </c>
      <c r="E379" s="204" t="s">
        <v>1104</v>
      </c>
      <c r="F379" s="204"/>
      <c r="G379" s="148">
        <f>G380</f>
        <v>2000</v>
      </c>
      <c r="H379" s="467">
        <f>H380</f>
        <v>0</v>
      </c>
      <c r="I379" s="470"/>
    </row>
    <row r="380" spans="1:18">
      <c r="A380" s="76" t="s">
        <v>494</v>
      </c>
      <c r="B380" s="96" t="s">
        <v>112</v>
      </c>
      <c r="C380" s="96" t="s">
        <v>212</v>
      </c>
      <c r="D380" s="96" t="s">
        <v>211</v>
      </c>
      <c r="E380" s="204" t="s">
        <v>1104</v>
      </c>
      <c r="F380" s="204" t="s">
        <v>260</v>
      </c>
      <c r="G380" s="148">
        <v>2000</v>
      </c>
      <c r="H380" s="467">
        <v>0</v>
      </c>
      <c r="I380" s="470"/>
    </row>
    <row r="381" spans="1:18" s="202" customFormat="1">
      <c r="A381" s="334" t="s">
        <v>461</v>
      </c>
      <c r="B381" s="336" t="s">
        <v>112</v>
      </c>
      <c r="C381" s="336" t="s">
        <v>212</v>
      </c>
      <c r="D381" s="336" t="s">
        <v>213</v>
      </c>
      <c r="E381" s="336"/>
      <c r="F381" s="336"/>
      <c r="G381" s="122">
        <f>G384</f>
        <v>44034.502339999999</v>
      </c>
      <c r="H381" s="122">
        <f>H384</f>
        <v>61672.07458</v>
      </c>
      <c r="I381" s="470"/>
      <c r="L381" s="203"/>
      <c r="M381" s="203"/>
      <c r="N381" s="203"/>
      <c r="O381" s="203"/>
      <c r="P381" s="203"/>
      <c r="Q381" s="203"/>
      <c r="R381" s="203"/>
    </row>
    <row r="382" spans="1:18" s="202" customFormat="1" ht="32.25" customHeight="1">
      <c r="A382" s="169" t="s">
        <v>705</v>
      </c>
      <c r="B382" s="149" t="s">
        <v>112</v>
      </c>
      <c r="C382" s="149" t="s">
        <v>212</v>
      </c>
      <c r="D382" s="149" t="s">
        <v>213</v>
      </c>
      <c r="E382" s="149" t="s">
        <v>823</v>
      </c>
      <c r="F382" s="149"/>
      <c r="G382" s="148">
        <f>G383</f>
        <v>0</v>
      </c>
      <c r="H382" s="148">
        <f>H383</f>
        <v>0</v>
      </c>
      <c r="I382" s="470"/>
      <c r="L382" s="203"/>
      <c r="M382" s="203"/>
      <c r="N382" s="203"/>
      <c r="O382" s="203"/>
      <c r="P382" s="203"/>
      <c r="Q382" s="203"/>
      <c r="R382" s="203"/>
    </row>
    <row r="383" spans="1:18" s="202" customFormat="1" ht="32.25" customHeight="1">
      <c r="A383" s="169" t="s">
        <v>263</v>
      </c>
      <c r="B383" s="149" t="s">
        <v>112</v>
      </c>
      <c r="C383" s="149" t="s">
        <v>212</v>
      </c>
      <c r="D383" s="149" t="s">
        <v>213</v>
      </c>
      <c r="E383" s="149" t="s">
        <v>823</v>
      </c>
      <c r="F383" s="149" t="s">
        <v>260</v>
      </c>
      <c r="G383" s="148">
        <v>0</v>
      </c>
      <c r="H383" s="148">
        <v>0</v>
      </c>
      <c r="I383" s="470"/>
      <c r="L383" s="203"/>
      <c r="M383" s="203"/>
      <c r="N383" s="203"/>
      <c r="O383" s="203"/>
      <c r="P383" s="203"/>
      <c r="Q383" s="203"/>
      <c r="R383" s="203"/>
    </row>
    <row r="384" spans="1:18" s="202" customFormat="1" ht="32.25" customHeight="1">
      <c r="A384" s="169" t="s">
        <v>452</v>
      </c>
      <c r="B384" s="149" t="s">
        <v>112</v>
      </c>
      <c r="C384" s="149" t="s">
        <v>212</v>
      </c>
      <c r="D384" s="149" t="s">
        <v>213</v>
      </c>
      <c r="E384" s="149" t="s">
        <v>788</v>
      </c>
      <c r="F384" s="149"/>
      <c r="G384" s="148">
        <f>G385+G387+G389+G391</f>
        <v>44034.502339999999</v>
      </c>
      <c r="H384" s="148">
        <f>H385+H387+H389+H391</f>
        <v>61672.07458</v>
      </c>
      <c r="I384" s="470"/>
      <c r="L384" s="203"/>
      <c r="M384" s="203"/>
      <c r="N384" s="203"/>
      <c r="O384" s="203"/>
      <c r="P384" s="203"/>
      <c r="Q384" s="203"/>
      <c r="R384" s="203"/>
    </row>
    <row r="385" spans="1:18" s="202" customFormat="1" ht="32.25" customHeight="1">
      <c r="A385" s="157" t="s">
        <v>383</v>
      </c>
      <c r="B385" s="190">
        <v>936</v>
      </c>
      <c r="C385" s="158" t="s">
        <v>212</v>
      </c>
      <c r="D385" s="158" t="s">
        <v>213</v>
      </c>
      <c r="E385" s="149" t="s">
        <v>1021</v>
      </c>
      <c r="F385" s="158"/>
      <c r="G385" s="148">
        <f>G386</f>
        <v>6347</v>
      </c>
      <c r="H385" s="148">
        <f>H386</f>
        <v>6347</v>
      </c>
      <c r="I385" s="470"/>
      <c r="L385" s="203"/>
      <c r="M385" s="203"/>
      <c r="N385" s="203"/>
      <c r="O385" s="203"/>
      <c r="P385" s="203"/>
      <c r="Q385" s="203"/>
      <c r="R385" s="203"/>
    </row>
    <row r="386" spans="1:18" s="202" customFormat="1" ht="32.25" customHeight="1">
      <c r="A386" s="76" t="s">
        <v>262</v>
      </c>
      <c r="B386" s="96" t="s">
        <v>112</v>
      </c>
      <c r="C386" s="96" t="s">
        <v>212</v>
      </c>
      <c r="D386" s="96" t="s">
        <v>213</v>
      </c>
      <c r="E386" s="149" t="s">
        <v>1021</v>
      </c>
      <c r="F386" s="96" t="s">
        <v>408</v>
      </c>
      <c r="G386" s="148">
        <v>6347</v>
      </c>
      <c r="H386" s="148">
        <v>6347</v>
      </c>
      <c r="I386" s="470"/>
      <c r="L386" s="203"/>
      <c r="M386" s="203"/>
      <c r="N386" s="203"/>
      <c r="O386" s="203"/>
      <c r="P386" s="203"/>
      <c r="Q386" s="203"/>
      <c r="R386" s="203"/>
    </row>
    <row r="387" spans="1:18" s="202" customFormat="1" ht="32.25" customHeight="1">
      <c r="A387" s="151" t="s">
        <v>182</v>
      </c>
      <c r="B387" s="149" t="s">
        <v>112</v>
      </c>
      <c r="C387" s="158" t="s">
        <v>212</v>
      </c>
      <c r="D387" s="158" t="s">
        <v>213</v>
      </c>
      <c r="E387" s="149" t="s">
        <v>1022</v>
      </c>
      <c r="F387" s="158"/>
      <c r="G387" s="148">
        <f>G388</f>
        <v>10916.6</v>
      </c>
      <c r="H387" s="148">
        <f>H388</f>
        <v>10916.6</v>
      </c>
      <c r="I387" s="470"/>
      <c r="L387" s="203"/>
      <c r="M387" s="203"/>
      <c r="N387" s="203"/>
      <c r="O387" s="203"/>
      <c r="P387" s="203"/>
      <c r="Q387" s="203"/>
      <c r="R387" s="203"/>
    </row>
    <row r="388" spans="1:18" s="202" customFormat="1" ht="32.25" customHeight="1">
      <c r="A388" s="169" t="s">
        <v>263</v>
      </c>
      <c r="B388" s="149" t="s">
        <v>112</v>
      </c>
      <c r="C388" s="149" t="s">
        <v>212</v>
      </c>
      <c r="D388" s="149" t="s">
        <v>213</v>
      </c>
      <c r="E388" s="149" t="s">
        <v>1022</v>
      </c>
      <c r="F388" s="149" t="s">
        <v>260</v>
      </c>
      <c r="G388" s="148">
        <v>10916.6</v>
      </c>
      <c r="H388" s="148">
        <v>10916.6</v>
      </c>
      <c r="I388" s="470"/>
      <c r="L388" s="203"/>
      <c r="M388" s="203"/>
      <c r="N388" s="203"/>
      <c r="O388" s="203"/>
      <c r="P388" s="203"/>
      <c r="Q388" s="203"/>
      <c r="R388" s="203"/>
    </row>
    <row r="389" spans="1:18" s="202" customFormat="1" ht="32.25" customHeight="1">
      <c r="A389" s="151" t="s">
        <v>664</v>
      </c>
      <c r="B389" s="149" t="s">
        <v>112</v>
      </c>
      <c r="C389" s="158" t="s">
        <v>212</v>
      </c>
      <c r="D389" s="158" t="s">
        <v>213</v>
      </c>
      <c r="E389" s="149" t="s">
        <v>1022</v>
      </c>
      <c r="F389" s="158"/>
      <c r="G389" s="148">
        <f>G390</f>
        <v>26770.902340000001</v>
      </c>
      <c r="H389" s="148">
        <f>H390</f>
        <v>23406.974579999998</v>
      </c>
      <c r="I389" s="470"/>
      <c r="L389" s="203"/>
      <c r="M389" s="203"/>
      <c r="N389" s="203"/>
      <c r="O389" s="203"/>
      <c r="P389" s="203"/>
      <c r="Q389" s="203"/>
      <c r="R389" s="203"/>
    </row>
    <row r="390" spans="1:18" s="202" customFormat="1" ht="32.25" customHeight="1">
      <c r="A390" s="169" t="s">
        <v>263</v>
      </c>
      <c r="B390" s="149" t="s">
        <v>112</v>
      </c>
      <c r="C390" s="149" t="s">
        <v>212</v>
      </c>
      <c r="D390" s="149" t="s">
        <v>213</v>
      </c>
      <c r="E390" s="149" t="s">
        <v>1022</v>
      </c>
      <c r="F390" s="149" t="s">
        <v>260</v>
      </c>
      <c r="G390" s="148">
        <f>28309.5-1538.59766</f>
        <v>26770.902340000001</v>
      </c>
      <c r="H390" s="148">
        <f>28309.5-3027.62542-1874.9</f>
        <v>23406.974579999998</v>
      </c>
      <c r="I390" s="470"/>
      <c r="L390" s="203"/>
      <c r="M390" s="203"/>
      <c r="N390" s="203"/>
      <c r="O390" s="203"/>
      <c r="P390" s="203"/>
      <c r="Q390" s="203"/>
      <c r="R390" s="203"/>
    </row>
    <row r="391" spans="1:18" s="202" customFormat="1" ht="42.75" customHeight="1">
      <c r="A391" s="169" t="s">
        <v>1298</v>
      </c>
      <c r="B391" s="149" t="s">
        <v>112</v>
      </c>
      <c r="C391" s="149" t="s">
        <v>212</v>
      </c>
      <c r="D391" s="149" t="s">
        <v>213</v>
      </c>
      <c r="E391" s="149" t="s">
        <v>1299</v>
      </c>
      <c r="F391" s="149"/>
      <c r="G391" s="148">
        <f>G392</f>
        <v>0</v>
      </c>
      <c r="H391" s="148">
        <f>H392</f>
        <v>21001.5</v>
      </c>
      <c r="I391" s="470"/>
      <c r="L391" s="203"/>
      <c r="M391" s="203"/>
      <c r="N391" s="203"/>
      <c r="O391" s="203"/>
      <c r="P391" s="203"/>
      <c r="Q391" s="203"/>
      <c r="R391" s="203"/>
    </row>
    <row r="392" spans="1:18" s="202" customFormat="1" ht="34.5" customHeight="1">
      <c r="A392" s="169" t="s">
        <v>263</v>
      </c>
      <c r="B392" s="149" t="s">
        <v>112</v>
      </c>
      <c r="C392" s="149" t="s">
        <v>212</v>
      </c>
      <c r="D392" s="149" t="s">
        <v>213</v>
      </c>
      <c r="E392" s="149" t="s">
        <v>1299</v>
      </c>
      <c r="F392" s="149" t="s">
        <v>260</v>
      </c>
      <c r="G392" s="148">
        <v>0</v>
      </c>
      <c r="H392" s="148">
        <v>21001.5</v>
      </c>
      <c r="I392" s="470"/>
      <c r="L392" s="203"/>
      <c r="M392" s="203"/>
      <c r="N392" s="203"/>
      <c r="O392" s="203"/>
      <c r="P392" s="203"/>
      <c r="Q392" s="203"/>
      <c r="R392" s="203"/>
    </row>
    <row r="393" spans="1:18">
      <c r="A393" s="337" t="s">
        <v>389</v>
      </c>
      <c r="B393" s="250" t="s">
        <v>112</v>
      </c>
      <c r="C393" s="250" t="s">
        <v>212</v>
      </c>
      <c r="D393" s="250" t="s">
        <v>212</v>
      </c>
      <c r="E393" s="336"/>
      <c r="F393" s="250"/>
      <c r="G393" s="338">
        <f>G394</f>
        <v>8433</v>
      </c>
      <c r="H393" s="338">
        <f>H394</f>
        <v>8433</v>
      </c>
      <c r="I393" s="470"/>
    </row>
    <row r="394" spans="1:18">
      <c r="A394" s="152" t="s">
        <v>452</v>
      </c>
      <c r="B394" s="96" t="s">
        <v>112</v>
      </c>
      <c r="C394" s="96" t="s">
        <v>212</v>
      </c>
      <c r="D394" s="96" t="s">
        <v>212</v>
      </c>
      <c r="E394" s="96" t="s">
        <v>788</v>
      </c>
      <c r="F394" s="96"/>
      <c r="G394" s="109">
        <f>G395+G396+G398+G400</f>
        <v>8433</v>
      </c>
      <c r="H394" s="109">
        <f>H395+H396+H398+H400</f>
        <v>8433</v>
      </c>
      <c r="I394" s="470"/>
    </row>
    <row r="395" spans="1:18" ht="47.25">
      <c r="A395" s="76" t="s">
        <v>339</v>
      </c>
      <c r="B395" s="96" t="s">
        <v>112</v>
      </c>
      <c r="C395" s="96" t="s">
        <v>212</v>
      </c>
      <c r="D395" s="96" t="s">
        <v>212</v>
      </c>
      <c r="E395" s="204" t="s">
        <v>798</v>
      </c>
      <c r="F395" s="96" t="s">
        <v>409</v>
      </c>
      <c r="G395" s="109">
        <v>1440</v>
      </c>
      <c r="H395" s="109">
        <v>1440</v>
      </c>
      <c r="I395" s="470"/>
    </row>
    <row r="396" spans="1:18" ht="126">
      <c r="A396" s="77" t="s">
        <v>674</v>
      </c>
      <c r="B396" s="96" t="s">
        <v>112</v>
      </c>
      <c r="C396" s="95" t="s">
        <v>212</v>
      </c>
      <c r="D396" s="95" t="s">
        <v>212</v>
      </c>
      <c r="E396" s="96" t="s">
        <v>499</v>
      </c>
      <c r="F396" s="95"/>
      <c r="G396" s="108">
        <f>G397</f>
        <v>3221.7</v>
      </c>
      <c r="H396" s="108">
        <f>H397</f>
        <v>3221.7</v>
      </c>
      <c r="I396" s="470"/>
    </row>
    <row r="397" spans="1:18" ht="31.5">
      <c r="A397" s="77" t="s">
        <v>432</v>
      </c>
      <c r="B397" s="96" t="s">
        <v>112</v>
      </c>
      <c r="C397" s="96" t="s">
        <v>212</v>
      </c>
      <c r="D397" s="96" t="s">
        <v>212</v>
      </c>
      <c r="E397" s="96" t="s">
        <v>499</v>
      </c>
      <c r="F397" s="96" t="s">
        <v>344</v>
      </c>
      <c r="G397" s="109">
        <v>3221.7</v>
      </c>
      <c r="H397" s="109">
        <v>3221.7</v>
      </c>
      <c r="I397" s="470"/>
    </row>
    <row r="398" spans="1:18" ht="31.5">
      <c r="A398" s="77" t="s">
        <v>786</v>
      </c>
      <c r="B398" s="95" t="s">
        <v>112</v>
      </c>
      <c r="C398" s="95" t="s">
        <v>212</v>
      </c>
      <c r="D398" s="95" t="s">
        <v>212</v>
      </c>
      <c r="E398" s="96" t="s">
        <v>796</v>
      </c>
      <c r="F398" s="95"/>
      <c r="G398" s="108">
        <f>G399</f>
        <v>3715.6</v>
      </c>
      <c r="H398" s="108">
        <f>H399</f>
        <v>3715.6</v>
      </c>
      <c r="I398" s="470"/>
    </row>
    <row r="399" spans="1:18" ht="31.5">
      <c r="A399" s="77" t="s">
        <v>432</v>
      </c>
      <c r="B399" s="96" t="s">
        <v>112</v>
      </c>
      <c r="C399" s="96" t="s">
        <v>212</v>
      </c>
      <c r="D399" s="96" t="s">
        <v>212</v>
      </c>
      <c r="E399" s="96" t="s">
        <v>796</v>
      </c>
      <c r="F399" s="96" t="s">
        <v>344</v>
      </c>
      <c r="G399" s="109">
        <v>3715.6</v>
      </c>
      <c r="H399" s="109">
        <v>3715.6</v>
      </c>
      <c r="I399" s="470"/>
    </row>
    <row r="400" spans="1:18" ht="47.25">
      <c r="A400" s="76" t="s">
        <v>787</v>
      </c>
      <c r="B400" s="95" t="s">
        <v>112</v>
      </c>
      <c r="C400" s="95" t="s">
        <v>212</v>
      </c>
      <c r="D400" s="95" t="s">
        <v>212</v>
      </c>
      <c r="E400" s="95" t="s">
        <v>797</v>
      </c>
      <c r="F400" s="95"/>
      <c r="G400" s="109">
        <f>G401+G402+G403</f>
        <v>55.7</v>
      </c>
      <c r="H400" s="109">
        <f>H401+H402+H403</f>
        <v>55.7</v>
      </c>
      <c r="I400" s="470"/>
    </row>
    <row r="401" spans="1:9">
      <c r="A401" s="76" t="s">
        <v>415</v>
      </c>
      <c r="B401" s="96" t="s">
        <v>112</v>
      </c>
      <c r="C401" s="96" t="s">
        <v>212</v>
      </c>
      <c r="D401" s="96" t="s">
        <v>212</v>
      </c>
      <c r="E401" s="95" t="s">
        <v>797</v>
      </c>
      <c r="F401" s="96" t="s">
        <v>423</v>
      </c>
      <c r="G401" s="109">
        <v>32.649000000000001</v>
      </c>
      <c r="H401" s="109">
        <v>32.649000000000001</v>
      </c>
      <c r="I401" s="470"/>
    </row>
    <row r="402" spans="1:9" ht="47.25">
      <c r="A402" s="195" t="s">
        <v>416</v>
      </c>
      <c r="B402" s="96" t="s">
        <v>112</v>
      </c>
      <c r="C402" s="96" t="s">
        <v>212</v>
      </c>
      <c r="D402" s="96" t="s">
        <v>212</v>
      </c>
      <c r="E402" s="95" t="s">
        <v>797</v>
      </c>
      <c r="F402" s="96" t="s">
        <v>425</v>
      </c>
      <c r="G402" s="109">
        <v>9.8789999999999996</v>
      </c>
      <c r="H402" s="109">
        <v>9.8789999999999996</v>
      </c>
      <c r="I402" s="470"/>
    </row>
    <row r="403" spans="1:9" ht="31.5">
      <c r="A403" s="152" t="s">
        <v>267</v>
      </c>
      <c r="B403" s="96" t="s">
        <v>112</v>
      </c>
      <c r="C403" s="96" t="s">
        <v>212</v>
      </c>
      <c r="D403" s="96" t="s">
        <v>212</v>
      </c>
      <c r="E403" s="95" t="s">
        <v>797</v>
      </c>
      <c r="F403" s="96" t="s">
        <v>401</v>
      </c>
      <c r="G403" s="109">
        <v>13.172000000000001</v>
      </c>
      <c r="H403" s="109">
        <v>13.172000000000001</v>
      </c>
      <c r="I403" s="470"/>
    </row>
    <row r="404" spans="1:9" s="220" customFormat="1">
      <c r="A404" s="233" t="s">
        <v>397</v>
      </c>
      <c r="B404" s="234" t="s">
        <v>112</v>
      </c>
      <c r="C404" s="234" t="s">
        <v>212</v>
      </c>
      <c r="D404" s="234" t="s">
        <v>214</v>
      </c>
      <c r="E404" s="371"/>
      <c r="F404" s="234"/>
      <c r="G404" s="235">
        <f>G405</f>
        <v>25894.853659999993</v>
      </c>
      <c r="H404" s="235">
        <f>H405</f>
        <v>25921.20448</v>
      </c>
      <c r="I404" s="470"/>
    </row>
    <row r="405" spans="1:9">
      <c r="A405" s="152" t="s">
        <v>452</v>
      </c>
      <c r="B405" s="96" t="s">
        <v>112</v>
      </c>
      <c r="C405" s="96" t="s">
        <v>212</v>
      </c>
      <c r="D405" s="96" t="s">
        <v>214</v>
      </c>
      <c r="E405" s="96" t="s">
        <v>788</v>
      </c>
      <c r="F405" s="149"/>
      <c r="G405" s="121">
        <f>G406+G410+G420+G423+G426</f>
        <v>25894.853659999993</v>
      </c>
      <c r="H405" s="121">
        <f>H406+H410+H420+H423+H426</f>
        <v>25921.20448</v>
      </c>
      <c r="I405" s="470"/>
    </row>
    <row r="406" spans="1:9" ht="31.5">
      <c r="A406" s="77" t="s">
        <v>412</v>
      </c>
      <c r="B406" s="95" t="s">
        <v>112</v>
      </c>
      <c r="C406" s="95" t="s">
        <v>212</v>
      </c>
      <c r="D406" s="95" t="s">
        <v>214</v>
      </c>
      <c r="E406" s="95" t="s">
        <v>501</v>
      </c>
      <c r="F406" s="95"/>
      <c r="G406" s="108">
        <f t="shared" ref="G406:H406" si="15">G407</f>
        <v>1628.77</v>
      </c>
      <c r="H406" s="108">
        <f t="shared" si="15"/>
        <v>1628.77</v>
      </c>
      <c r="I406" s="470"/>
    </row>
    <row r="407" spans="1:9">
      <c r="A407" s="74" t="s">
        <v>382</v>
      </c>
      <c r="B407" s="95" t="s">
        <v>112</v>
      </c>
      <c r="C407" s="95" t="s">
        <v>212</v>
      </c>
      <c r="D407" s="95" t="s">
        <v>214</v>
      </c>
      <c r="E407" s="96" t="s">
        <v>502</v>
      </c>
      <c r="F407" s="95"/>
      <c r="G407" s="108">
        <f>G408+G409</f>
        <v>1628.77</v>
      </c>
      <c r="H407" s="108">
        <f>H408+H409</f>
        <v>1628.77</v>
      </c>
      <c r="I407" s="470"/>
    </row>
    <row r="408" spans="1:9">
      <c r="A408" s="76" t="s">
        <v>415</v>
      </c>
      <c r="B408" s="96" t="s">
        <v>112</v>
      </c>
      <c r="C408" s="96" t="s">
        <v>212</v>
      </c>
      <c r="D408" s="96" t="s">
        <v>214</v>
      </c>
      <c r="E408" s="96" t="s">
        <v>502</v>
      </c>
      <c r="F408" s="98">
        <v>121</v>
      </c>
      <c r="G408" s="109">
        <v>1250.97542</v>
      </c>
      <c r="H408" s="109">
        <v>1250.97542</v>
      </c>
      <c r="I408" s="470"/>
    </row>
    <row r="409" spans="1:9" ht="47.25">
      <c r="A409" s="195" t="s">
        <v>416</v>
      </c>
      <c r="B409" s="96" t="s">
        <v>112</v>
      </c>
      <c r="C409" s="96" t="s">
        <v>212</v>
      </c>
      <c r="D409" s="96" t="s">
        <v>214</v>
      </c>
      <c r="E409" s="96" t="s">
        <v>502</v>
      </c>
      <c r="F409" s="98">
        <v>129</v>
      </c>
      <c r="G409" s="109">
        <v>377.79458</v>
      </c>
      <c r="H409" s="109">
        <v>377.79458</v>
      </c>
      <c r="I409" s="470"/>
    </row>
    <row r="410" spans="1:9" ht="31.5">
      <c r="A410" s="77" t="s">
        <v>383</v>
      </c>
      <c r="B410" s="95" t="s">
        <v>112</v>
      </c>
      <c r="C410" s="95" t="s">
        <v>212</v>
      </c>
      <c r="D410" s="95" t="s">
        <v>214</v>
      </c>
      <c r="E410" s="95" t="s">
        <v>507</v>
      </c>
      <c r="F410" s="95"/>
      <c r="G410" s="121">
        <f>G411</f>
        <v>14427.227659999997</v>
      </c>
      <c r="H410" s="121">
        <f>H411</f>
        <v>14452.778479999999</v>
      </c>
      <c r="I410" s="470"/>
    </row>
    <row r="411" spans="1:9" ht="47.25">
      <c r="A411" s="77" t="s">
        <v>377</v>
      </c>
      <c r="B411" s="95" t="s">
        <v>112</v>
      </c>
      <c r="C411" s="95" t="s">
        <v>212</v>
      </c>
      <c r="D411" s="95" t="s">
        <v>214</v>
      </c>
      <c r="E411" s="95" t="s">
        <v>520</v>
      </c>
      <c r="F411" s="95"/>
      <c r="G411" s="121">
        <f>G412+G413+G414+G415+G416+G418+G419+G417</f>
        <v>14427.227659999997</v>
      </c>
      <c r="H411" s="121">
        <f>H412+H413+H414+H415+H416+H418+H419+H417</f>
        <v>14452.778479999999</v>
      </c>
      <c r="I411" s="470"/>
    </row>
    <row r="412" spans="1:9">
      <c r="A412" s="206" t="s">
        <v>600</v>
      </c>
      <c r="B412" s="204" t="s">
        <v>112</v>
      </c>
      <c r="C412" s="204" t="s">
        <v>212</v>
      </c>
      <c r="D412" s="204" t="s">
        <v>214</v>
      </c>
      <c r="E412" s="96" t="s">
        <v>520</v>
      </c>
      <c r="F412" s="204" t="s">
        <v>423</v>
      </c>
      <c r="G412" s="199">
        <v>7896.9969300000002</v>
      </c>
      <c r="H412" s="199">
        <f>7896.99683</f>
        <v>7896.99683</v>
      </c>
      <c r="I412" s="470"/>
    </row>
    <row r="413" spans="1:9" ht="31.5">
      <c r="A413" s="206" t="s">
        <v>10</v>
      </c>
      <c r="B413" s="204" t="s">
        <v>112</v>
      </c>
      <c r="C413" s="204" t="s">
        <v>212</v>
      </c>
      <c r="D413" s="204" t="s">
        <v>214</v>
      </c>
      <c r="E413" s="96" t="s">
        <v>520</v>
      </c>
      <c r="F413" s="204" t="s">
        <v>424</v>
      </c>
      <c r="G413" s="199">
        <v>20</v>
      </c>
      <c r="H413" s="199">
        <v>20</v>
      </c>
      <c r="I413" s="470"/>
    </row>
    <row r="414" spans="1:9" ht="31.5">
      <c r="A414" s="231" t="s">
        <v>601</v>
      </c>
      <c r="B414" s="204" t="s">
        <v>112</v>
      </c>
      <c r="C414" s="204" t="s">
        <v>212</v>
      </c>
      <c r="D414" s="204" t="s">
        <v>214</v>
      </c>
      <c r="E414" s="96" t="s">
        <v>520</v>
      </c>
      <c r="F414" s="204" t="s">
        <v>425</v>
      </c>
      <c r="G414" s="199">
        <v>2384.8930700000001</v>
      </c>
      <c r="H414" s="199">
        <f>2384.89307</f>
        <v>2384.8930700000001</v>
      </c>
      <c r="I414" s="470"/>
    </row>
    <row r="415" spans="1:9" ht="31.5">
      <c r="A415" s="208" t="s">
        <v>406</v>
      </c>
      <c r="B415" s="204" t="s">
        <v>112</v>
      </c>
      <c r="C415" s="204" t="s">
        <v>212</v>
      </c>
      <c r="D415" s="204" t="s">
        <v>214</v>
      </c>
      <c r="E415" s="96" t="s">
        <v>520</v>
      </c>
      <c r="F415" s="204" t="s">
        <v>407</v>
      </c>
      <c r="G415" s="199">
        <f>180+341.8</f>
        <v>521.79999999999995</v>
      </c>
      <c r="H415" s="199">
        <f>180+341.8</f>
        <v>521.79999999999995</v>
      </c>
      <c r="I415" s="470"/>
    </row>
    <row r="416" spans="1:9" ht="31.5">
      <c r="A416" s="152" t="s">
        <v>267</v>
      </c>
      <c r="B416" s="204" t="s">
        <v>112</v>
      </c>
      <c r="C416" s="204" t="s">
        <v>212</v>
      </c>
      <c r="D416" s="204" t="s">
        <v>214</v>
      </c>
      <c r="E416" s="96" t="s">
        <v>520</v>
      </c>
      <c r="F416" s="204" t="s">
        <v>401</v>
      </c>
      <c r="G416" s="199">
        <f>3030.064+3.77366</f>
        <v>3033.8376599999997</v>
      </c>
      <c r="H416" s="199">
        <f>3030.064+3.77366</f>
        <v>3033.8376599999997</v>
      </c>
      <c r="I416" s="470"/>
    </row>
    <row r="417" spans="1:10">
      <c r="A417" s="3" t="s">
        <v>1026</v>
      </c>
      <c r="B417" s="204" t="s">
        <v>112</v>
      </c>
      <c r="C417" s="204" t="s">
        <v>212</v>
      </c>
      <c r="D417" s="204" t="s">
        <v>214</v>
      </c>
      <c r="E417" s="96" t="s">
        <v>520</v>
      </c>
      <c r="F417" s="204" t="s">
        <v>1025</v>
      </c>
      <c r="G417" s="199">
        <v>533.79999999999995</v>
      </c>
      <c r="H417" s="199">
        <f>533.8+25.55092</f>
        <v>559.35091999999997</v>
      </c>
      <c r="I417" s="470"/>
    </row>
    <row r="418" spans="1:10">
      <c r="A418" s="76" t="s">
        <v>403</v>
      </c>
      <c r="B418" s="96" t="s">
        <v>112</v>
      </c>
      <c r="C418" s="96" t="s">
        <v>212</v>
      </c>
      <c r="D418" s="96" t="s">
        <v>214</v>
      </c>
      <c r="E418" s="96" t="s">
        <v>520</v>
      </c>
      <c r="F418" s="110">
        <v>851</v>
      </c>
      <c r="G418" s="109">
        <v>4.9000000000000004</v>
      </c>
      <c r="H418" s="109">
        <v>4.9000000000000004</v>
      </c>
      <c r="I418" s="470"/>
    </row>
    <row r="419" spans="1:10">
      <c r="A419" s="76" t="s">
        <v>268</v>
      </c>
      <c r="B419" s="96" t="s">
        <v>112</v>
      </c>
      <c r="C419" s="96" t="s">
        <v>212</v>
      </c>
      <c r="D419" s="96" t="s">
        <v>214</v>
      </c>
      <c r="E419" s="96" t="s">
        <v>520</v>
      </c>
      <c r="F419" s="110">
        <v>852</v>
      </c>
      <c r="G419" s="109">
        <v>31</v>
      </c>
      <c r="H419" s="109">
        <v>31</v>
      </c>
      <c r="I419" s="470"/>
    </row>
    <row r="420" spans="1:10" ht="47.25">
      <c r="A420" s="76" t="s">
        <v>426</v>
      </c>
      <c r="B420" s="149" t="s">
        <v>112</v>
      </c>
      <c r="C420" s="96" t="s">
        <v>212</v>
      </c>
      <c r="D420" s="96" t="s">
        <v>214</v>
      </c>
      <c r="E420" s="96" t="s">
        <v>500</v>
      </c>
      <c r="F420" s="110"/>
      <c r="G420" s="109">
        <f>G421+G422</f>
        <v>48.3</v>
      </c>
      <c r="H420" s="108">
        <f>H421+H422</f>
        <v>48.3</v>
      </c>
      <c r="I420" s="470"/>
    </row>
    <row r="421" spans="1:10" ht="31.5">
      <c r="A421" s="76" t="s">
        <v>155</v>
      </c>
      <c r="B421" s="149" t="s">
        <v>112</v>
      </c>
      <c r="C421" s="96" t="s">
        <v>212</v>
      </c>
      <c r="D421" s="96" t="s">
        <v>214</v>
      </c>
      <c r="E421" s="96" t="s">
        <v>500</v>
      </c>
      <c r="F421" s="110">
        <v>121</v>
      </c>
      <c r="G421" s="109">
        <v>37.096769999999999</v>
      </c>
      <c r="H421" s="109">
        <v>37.096769999999999</v>
      </c>
      <c r="I421" s="470"/>
    </row>
    <row r="422" spans="1:10" ht="47.25">
      <c r="A422" s="195" t="s">
        <v>416</v>
      </c>
      <c r="B422" s="149" t="s">
        <v>112</v>
      </c>
      <c r="C422" s="96" t="s">
        <v>212</v>
      </c>
      <c r="D422" s="96" t="s">
        <v>214</v>
      </c>
      <c r="E422" s="96" t="s">
        <v>500</v>
      </c>
      <c r="F422" s="110">
        <v>129</v>
      </c>
      <c r="G422" s="109">
        <v>11.20323</v>
      </c>
      <c r="H422" s="109">
        <v>11.20323</v>
      </c>
      <c r="I422" s="470"/>
    </row>
    <row r="423" spans="1:10" ht="94.5">
      <c r="A423" s="77" t="s">
        <v>549</v>
      </c>
      <c r="B423" s="95" t="s">
        <v>112</v>
      </c>
      <c r="C423" s="95" t="s">
        <v>212</v>
      </c>
      <c r="D423" s="95" t="s">
        <v>214</v>
      </c>
      <c r="E423" s="462"/>
      <c r="F423" s="95"/>
      <c r="G423" s="108">
        <f>G424+G425</f>
        <v>85.399999999999991</v>
      </c>
      <c r="H423" s="108">
        <f>H424+H425</f>
        <v>86.199999999999989</v>
      </c>
      <c r="I423" s="470"/>
    </row>
    <row r="424" spans="1:10" ht="31.5">
      <c r="A424" s="76" t="s">
        <v>155</v>
      </c>
      <c r="B424" s="96" t="s">
        <v>112</v>
      </c>
      <c r="C424" s="96" t="s">
        <v>212</v>
      </c>
      <c r="D424" s="96" t="s">
        <v>214</v>
      </c>
      <c r="E424" s="96" t="s">
        <v>0</v>
      </c>
      <c r="F424" s="96" t="s">
        <v>423</v>
      </c>
      <c r="G424" s="109">
        <v>65.591399999999993</v>
      </c>
      <c r="H424" s="109">
        <v>66.205839999999995</v>
      </c>
      <c r="I424" s="470"/>
    </row>
    <row r="425" spans="1:10" ht="47.25">
      <c r="A425" s="195" t="s">
        <v>416</v>
      </c>
      <c r="B425" s="96" t="s">
        <v>112</v>
      </c>
      <c r="C425" s="96" t="s">
        <v>212</v>
      </c>
      <c r="D425" s="96" t="s">
        <v>214</v>
      </c>
      <c r="E425" s="96" t="s">
        <v>0</v>
      </c>
      <c r="F425" s="96" t="s">
        <v>425</v>
      </c>
      <c r="G425" s="109">
        <v>19.808599999999998</v>
      </c>
      <c r="H425" s="109">
        <v>19.994160000000001</v>
      </c>
      <c r="I425" s="470"/>
    </row>
    <row r="426" spans="1:10" ht="63">
      <c r="A426" s="74" t="s">
        <v>789</v>
      </c>
      <c r="B426" s="149" t="s">
        <v>112</v>
      </c>
      <c r="C426" s="96" t="s">
        <v>212</v>
      </c>
      <c r="D426" s="96" t="s">
        <v>214</v>
      </c>
      <c r="E426" s="96" t="s">
        <v>665</v>
      </c>
      <c r="F426" s="95"/>
      <c r="G426" s="148">
        <f>G427+G428</f>
        <v>9705.155999999999</v>
      </c>
      <c r="H426" s="148">
        <f>H427+H428</f>
        <v>9705.155999999999</v>
      </c>
      <c r="I426" s="537"/>
      <c r="J426" s="85"/>
    </row>
    <row r="427" spans="1:10" ht="28.5" customHeight="1">
      <c r="A427" s="206" t="s">
        <v>600</v>
      </c>
      <c r="B427" s="149" t="s">
        <v>112</v>
      </c>
      <c r="C427" s="96" t="s">
        <v>212</v>
      </c>
      <c r="D427" s="96" t="s">
        <v>214</v>
      </c>
      <c r="E427" s="96" t="s">
        <v>665</v>
      </c>
      <c r="F427" s="96" t="s">
        <v>423</v>
      </c>
      <c r="G427" s="109">
        <v>7454.0368699999999</v>
      </c>
      <c r="H427" s="109">
        <v>7454.0368699999999</v>
      </c>
      <c r="I427" s="470"/>
    </row>
    <row r="428" spans="1:10" ht="42" customHeight="1">
      <c r="A428" s="550" t="s">
        <v>601</v>
      </c>
      <c r="B428" s="149" t="s">
        <v>112</v>
      </c>
      <c r="C428" s="96" t="s">
        <v>212</v>
      </c>
      <c r="D428" s="96" t="s">
        <v>214</v>
      </c>
      <c r="E428" s="96" t="s">
        <v>665</v>
      </c>
      <c r="F428" s="96" t="s">
        <v>425</v>
      </c>
      <c r="G428" s="109">
        <v>2251.11913</v>
      </c>
      <c r="H428" s="109">
        <v>2251.11913</v>
      </c>
      <c r="I428" s="470"/>
    </row>
    <row r="429" spans="1:10" ht="42" customHeight="1">
      <c r="A429" s="79" t="s">
        <v>391</v>
      </c>
      <c r="B429" s="336" t="s">
        <v>112</v>
      </c>
      <c r="C429" s="103" t="s">
        <v>215</v>
      </c>
      <c r="D429" s="103" t="s">
        <v>213</v>
      </c>
      <c r="E429" s="103"/>
      <c r="F429" s="103"/>
      <c r="G429" s="104">
        <f>G430</f>
        <v>3000</v>
      </c>
      <c r="H429" s="104">
        <f>H430</f>
        <v>3000</v>
      </c>
      <c r="I429" s="470"/>
    </row>
    <row r="430" spans="1:10" ht="42" customHeight="1">
      <c r="A430" s="76" t="s">
        <v>452</v>
      </c>
      <c r="B430" s="96" t="s">
        <v>112</v>
      </c>
      <c r="C430" s="96" t="s">
        <v>215</v>
      </c>
      <c r="D430" s="96" t="s">
        <v>213</v>
      </c>
      <c r="E430" s="149" t="s">
        <v>919</v>
      </c>
      <c r="F430" s="96"/>
      <c r="G430" s="109">
        <f>G431</f>
        <v>3000</v>
      </c>
      <c r="H430" s="109">
        <f>H431</f>
        <v>3000</v>
      </c>
      <c r="I430" s="470"/>
    </row>
    <row r="431" spans="1:10" ht="54" customHeight="1">
      <c r="A431" s="312" t="s">
        <v>715</v>
      </c>
      <c r="B431" s="96" t="s">
        <v>112</v>
      </c>
      <c r="C431" s="96" t="s">
        <v>215</v>
      </c>
      <c r="D431" s="96" t="s">
        <v>213</v>
      </c>
      <c r="E431" s="149" t="s">
        <v>918</v>
      </c>
      <c r="F431" s="96"/>
      <c r="G431" s="109">
        <f t="shared" ref="G431" si="16">G432</f>
        <v>3000</v>
      </c>
      <c r="H431" s="109">
        <f>H432</f>
        <v>3000</v>
      </c>
      <c r="I431" s="470"/>
    </row>
    <row r="432" spans="1:10" ht="42" customHeight="1">
      <c r="A432" s="76" t="s">
        <v>263</v>
      </c>
      <c r="B432" s="96" t="s">
        <v>112</v>
      </c>
      <c r="C432" s="96" t="s">
        <v>215</v>
      </c>
      <c r="D432" s="96" t="s">
        <v>213</v>
      </c>
      <c r="E432" s="149" t="s">
        <v>918</v>
      </c>
      <c r="F432" s="96" t="s">
        <v>260</v>
      </c>
      <c r="G432" s="109">
        <v>3000</v>
      </c>
      <c r="H432" s="109">
        <v>3000</v>
      </c>
      <c r="I432" s="470"/>
    </row>
    <row r="433" spans="1:9" ht="48.75" customHeight="1">
      <c r="A433" s="578" t="s">
        <v>613</v>
      </c>
      <c r="B433" s="579" t="s">
        <v>612</v>
      </c>
      <c r="C433" s="580"/>
      <c r="D433" s="580"/>
      <c r="E433" s="579"/>
      <c r="F433" s="579"/>
      <c r="G433" s="581">
        <f>G434+G440+G455+G474</f>
        <v>118171.3689</v>
      </c>
      <c r="H433" s="581">
        <f>H434+H440+H455+H474</f>
        <v>29116.318900000002</v>
      </c>
      <c r="I433" s="470"/>
    </row>
    <row r="434" spans="1:9" ht="48.75" customHeight="1">
      <c r="A434" s="79" t="s">
        <v>264</v>
      </c>
      <c r="B434" s="106" t="s">
        <v>612</v>
      </c>
      <c r="C434" s="106" t="s">
        <v>219</v>
      </c>
      <c r="D434" s="106" t="s">
        <v>214</v>
      </c>
      <c r="E434" s="106"/>
      <c r="F434" s="106"/>
      <c r="G434" s="581">
        <f>G435</f>
        <v>16088.3</v>
      </c>
      <c r="H434" s="581">
        <f>H435</f>
        <v>14875.1</v>
      </c>
      <c r="I434" s="470"/>
    </row>
    <row r="435" spans="1:9" ht="48.75" customHeight="1">
      <c r="A435" s="77" t="s">
        <v>156</v>
      </c>
      <c r="B435" s="95" t="s">
        <v>612</v>
      </c>
      <c r="C435" s="95" t="s">
        <v>219</v>
      </c>
      <c r="D435" s="95" t="s">
        <v>214</v>
      </c>
      <c r="E435" s="95" t="s">
        <v>503</v>
      </c>
      <c r="F435" s="106"/>
      <c r="G435" s="581">
        <f>G436+G438</f>
        <v>16088.3</v>
      </c>
      <c r="H435" s="581">
        <f>H436+H438</f>
        <v>14875.1</v>
      </c>
      <c r="I435" s="470"/>
    </row>
    <row r="436" spans="1:9" ht="48.75" customHeight="1">
      <c r="A436" s="77" t="s">
        <v>373</v>
      </c>
      <c r="B436" s="95" t="s">
        <v>612</v>
      </c>
      <c r="C436" s="95" t="s">
        <v>219</v>
      </c>
      <c r="D436" s="95" t="s">
        <v>214</v>
      </c>
      <c r="E436" s="95" t="s">
        <v>487</v>
      </c>
      <c r="F436" s="95"/>
      <c r="G436" s="584">
        <f>G437</f>
        <v>14268.5</v>
      </c>
      <c r="H436" s="584">
        <f>H437</f>
        <v>14268.5</v>
      </c>
      <c r="I436" s="470"/>
    </row>
    <row r="437" spans="1:9" ht="48.75" customHeight="1">
      <c r="A437" s="152" t="s">
        <v>267</v>
      </c>
      <c r="B437" s="96" t="s">
        <v>612</v>
      </c>
      <c r="C437" s="95" t="s">
        <v>219</v>
      </c>
      <c r="D437" s="95" t="s">
        <v>214</v>
      </c>
      <c r="E437" s="96" t="s">
        <v>487</v>
      </c>
      <c r="F437" s="96" t="s">
        <v>401</v>
      </c>
      <c r="G437" s="584">
        <v>14268.5</v>
      </c>
      <c r="H437" s="584">
        <v>14268.5</v>
      </c>
      <c r="I437" s="470"/>
    </row>
    <row r="438" spans="1:9" ht="48.75" customHeight="1">
      <c r="A438" s="162" t="s">
        <v>754</v>
      </c>
      <c r="B438" s="95" t="s">
        <v>612</v>
      </c>
      <c r="C438" s="95" t="s">
        <v>219</v>
      </c>
      <c r="D438" s="95" t="s">
        <v>214</v>
      </c>
      <c r="E438" s="95" t="s">
        <v>1185</v>
      </c>
      <c r="F438" s="95"/>
      <c r="G438" s="108">
        <f>G439</f>
        <v>1819.8</v>
      </c>
      <c r="H438" s="584">
        <f>H439</f>
        <v>606.6</v>
      </c>
      <c r="I438" s="470"/>
    </row>
    <row r="439" spans="1:9" ht="48.75" customHeight="1">
      <c r="A439" s="152" t="s">
        <v>267</v>
      </c>
      <c r="B439" s="96" t="s">
        <v>612</v>
      </c>
      <c r="C439" s="96" t="s">
        <v>219</v>
      </c>
      <c r="D439" s="96" t="s">
        <v>214</v>
      </c>
      <c r="E439" s="95" t="s">
        <v>1185</v>
      </c>
      <c r="F439" s="96" t="s">
        <v>401</v>
      </c>
      <c r="G439" s="109">
        <v>1819.8</v>
      </c>
      <c r="H439" s="584">
        <v>606.6</v>
      </c>
      <c r="I439" s="470"/>
    </row>
    <row r="440" spans="1:9" ht="28.5" customHeight="1">
      <c r="A440" s="79" t="s">
        <v>52</v>
      </c>
      <c r="B440" s="103" t="s">
        <v>612</v>
      </c>
      <c r="C440" s="103" t="s">
        <v>219</v>
      </c>
      <c r="D440" s="103" t="s">
        <v>217</v>
      </c>
      <c r="E440" s="103"/>
      <c r="F440" s="103"/>
      <c r="G440" s="104">
        <f>G441+G448</f>
        <v>12503.5</v>
      </c>
      <c r="H440" s="104">
        <f>H441+H448</f>
        <v>12547.85</v>
      </c>
      <c r="I440" s="470"/>
    </row>
    <row r="441" spans="1:9" ht="40.5" customHeight="1">
      <c r="A441" s="173" t="s">
        <v>1231</v>
      </c>
      <c r="B441" s="175" t="s">
        <v>612</v>
      </c>
      <c r="C441" s="175" t="s">
        <v>219</v>
      </c>
      <c r="D441" s="175" t="s">
        <v>217</v>
      </c>
      <c r="E441" s="175" t="s">
        <v>551</v>
      </c>
      <c r="F441" s="175"/>
      <c r="G441" s="177">
        <f>G442</f>
        <v>2125</v>
      </c>
      <c r="H441" s="177">
        <f>H442</f>
        <v>2169.35</v>
      </c>
      <c r="I441" s="470"/>
    </row>
    <row r="442" spans="1:9" ht="61.5" customHeight="1">
      <c r="A442" s="173" t="s">
        <v>863</v>
      </c>
      <c r="B442" s="175" t="s">
        <v>612</v>
      </c>
      <c r="C442" s="175" t="s">
        <v>219</v>
      </c>
      <c r="D442" s="175" t="s">
        <v>217</v>
      </c>
      <c r="E442" s="175" t="s">
        <v>551</v>
      </c>
      <c r="F442" s="175"/>
      <c r="G442" s="177">
        <f>G443+G444+G446</f>
        <v>2125</v>
      </c>
      <c r="H442" s="177">
        <f>H443+H444+H446</f>
        <v>2169.35</v>
      </c>
      <c r="I442" s="470"/>
    </row>
    <row r="443" spans="1:9" ht="36.75" customHeight="1">
      <c r="A443" s="152" t="s">
        <v>267</v>
      </c>
      <c r="B443" s="96" t="s">
        <v>612</v>
      </c>
      <c r="C443" s="96" t="s">
        <v>219</v>
      </c>
      <c r="D443" s="96" t="s">
        <v>217</v>
      </c>
      <c r="E443" s="96" t="s">
        <v>515</v>
      </c>
      <c r="F443" s="96" t="s">
        <v>401</v>
      </c>
      <c r="G443" s="109">
        <v>1500</v>
      </c>
      <c r="H443" s="109">
        <v>1500</v>
      </c>
      <c r="I443" s="470"/>
    </row>
    <row r="444" spans="1:9" ht="39.75" customHeight="1">
      <c r="A444" s="74" t="s">
        <v>427</v>
      </c>
      <c r="B444" s="95" t="s">
        <v>612</v>
      </c>
      <c r="C444" s="95" t="s">
        <v>219</v>
      </c>
      <c r="D444" s="95" t="s">
        <v>217</v>
      </c>
      <c r="E444" s="95" t="s">
        <v>558</v>
      </c>
      <c r="F444" s="95"/>
      <c r="G444" s="108">
        <f>G445</f>
        <v>500</v>
      </c>
      <c r="H444" s="108">
        <f>H445</f>
        <v>535.6</v>
      </c>
      <c r="I444" s="470"/>
    </row>
    <row r="445" spans="1:9" ht="28.5" customHeight="1">
      <c r="A445" s="152" t="s">
        <v>267</v>
      </c>
      <c r="B445" s="96" t="s">
        <v>612</v>
      </c>
      <c r="C445" s="96" t="s">
        <v>219</v>
      </c>
      <c r="D445" s="96" t="s">
        <v>217</v>
      </c>
      <c r="E445" s="95" t="s">
        <v>558</v>
      </c>
      <c r="F445" s="96" t="s">
        <v>401</v>
      </c>
      <c r="G445" s="109">
        <v>500</v>
      </c>
      <c r="H445" s="109">
        <v>535.6</v>
      </c>
      <c r="I445" s="470"/>
    </row>
    <row r="446" spans="1:9" ht="28.5" customHeight="1">
      <c r="A446" s="457" t="s">
        <v>559</v>
      </c>
      <c r="B446" s="95" t="s">
        <v>612</v>
      </c>
      <c r="C446" s="95" t="s">
        <v>219</v>
      </c>
      <c r="D446" s="95" t="s">
        <v>217</v>
      </c>
      <c r="E446" s="95" t="s">
        <v>558</v>
      </c>
      <c r="F446" s="95"/>
      <c r="G446" s="108">
        <f>G447</f>
        <v>125</v>
      </c>
      <c r="H446" s="108">
        <f>H447</f>
        <v>133.75</v>
      </c>
      <c r="I446" s="470"/>
    </row>
    <row r="447" spans="1:9" ht="28.5" customHeight="1">
      <c r="A447" s="152" t="s">
        <v>267</v>
      </c>
      <c r="B447" s="96" t="s">
        <v>612</v>
      </c>
      <c r="C447" s="96" t="s">
        <v>219</v>
      </c>
      <c r="D447" s="96" t="s">
        <v>217</v>
      </c>
      <c r="E447" s="96" t="s">
        <v>558</v>
      </c>
      <c r="F447" s="96" t="s">
        <v>401</v>
      </c>
      <c r="G447" s="109">
        <v>125</v>
      </c>
      <c r="H447" s="109">
        <v>133.75</v>
      </c>
      <c r="I447" s="470"/>
    </row>
    <row r="448" spans="1:9" ht="41.25" customHeight="1">
      <c r="A448" s="416" t="s">
        <v>1211</v>
      </c>
      <c r="B448" s="184" t="s">
        <v>612</v>
      </c>
      <c r="C448" s="184" t="s">
        <v>219</v>
      </c>
      <c r="D448" s="184" t="s">
        <v>217</v>
      </c>
      <c r="E448" s="191" t="s">
        <v>727</v>
      </c>
      <c r="F448" s="184"/>
      <c r="G448" s="193">
        <f>G449</f>
        <v>10378.5</v>
      </c>
      <c r="H448" s="193">
        <f>H449</f>
        <v>10378.5</v>
      </c>
      <c r="I448" s="470"/>
    </row>
    <row r="449" spans="1:10" ht="35.25" customHeight="1">
      <c r="A449" s="416" t="s">
        <v>862</v>
      </c>
      <c r="B449" s="184" t="s">
        <v>612</v>
      </c>
      <c r="C449" s="184" t="s">
        <v>219</v>
      </c>
      <c r="D449" s="184" t="s">
        <v>217</v>
      </c>
      <c r="E449" s="191" t="s">
        <v>727</v>
      </c>
      <c r="F449" s="184"/>
      <c r="G449" s="193">
        <f>G450+G451+G453</f>
        <v>10378.5</v>
      </c>
      <c r="H449" s="193">
        <f>H450+H451+H453</f>
        <v>10378.5</v>
      </c>
      <c r="I449" s="470"/>
    </row>
    <row r="450" spans="1:10" ht="28.5" customHeight="1">
      <c r="A450" s="152" t="s">
        <v>267</v>
      </c>
      <c r="B450" s="96" t="s">
        <v>612</v>
      </c>
      <c r="C450" s="96" t="s">
        <v>219</v>
      </c>
      <c r="D450" s="96" t="s">
        <v>217</v>
      </c>
      <c r="E450" s="170" t="s">
        <v>577</v>
      </c>
      <c r="F450" s="96" t="s">
        <v>401</v>
      </c>
      <c r="G450" s="109">
        <v>2150</v>
      </c>
      <c r="H450" s="109">
        <v>2150</v>
      </c>
      <c r="I450" s="470"/>
    </row>
    <row r="451" spans="1:10" ht="48.75" customHeight="1">
      <c r="A451" s="74" t="s">
        <v>99</v>
      </c>
      <c r="B451" s="97">
        <v>937</v>
      </c>
      <c r="C451" s="95" t="s">
        <v>219</v>
      </c>
      <c r="D451" s="95" t="s">
        <v>217</v>
      </c>
      <c r="E451" s="96" t="s">
        <v>752</v>
      </c>
      <c r="F451" s="95"/>
      <c r="G451" s="109">
        <f>G452</f>
        <v>7428.5</v>
      </c>
      <c r="H451" s="109">
        <f>H452</f>
        <v>7428.5</v>
      </c>
      <c r="I451" s="470"/>
    </row>
    <row r="452" spans="1:10" ht="48.75" customHeight="1">
      <c r="A452" s="152" t="s">
        <v>267</v>
      </c>
      <c r="B452" s="98">
        <v>937</v>
      </c>
      <c r="C452" s="96" t="s">
        <v>219</v>
      </c>
      <c r="D452" s="96" t="s">
        <v>217</v>
      </c>
      <c r="E452" s="96" t="s">
        <v>752</v>
      </c>
      <c r="F452" s="96" t="s">
        <v>401</v>
      </c>
      <c r="G452" s="109">
        <v>7428.5</v>
      </c>
      <c r="H452" s="109">
        <v>7428.5</v>
      </c>
      <c r="I452" s="470"/>
    </row>
    <row r="453" spans="1:10" ht="48.75" customHeight="1">
      <c r="A453" s="74" t="s">
        <v>557</v>
      </c>
      <c r="B453" s="97">
        <v>937</v>
      </c>
      <c r="C453" s="95" t="s">
        <v>219</v>
      </c>
      <c r="D453" s="95" t="s">
        <v>217</v>
      </c>
      <c r="E453" s="96" t="s">
        <v>752</v>
      </c>
      <c r="F453" s="96"/>
      <c r="G453" s="109">
        <f>G454</f>
        <v>800</v>
      </c>
      <c r="H453" s="109">
        <f>H454</f>
        <v>800</v>
      </c>
      <c r="I453" s="470"/>
    </row>
    <row r="454" spans="1:10" ht="48.75" customHeight="1">
      <c r="A454" s="152" t="s">
        <v>267</v>
      </c>
      <c r="B454" s="98">
        <v>937</v>
      </c>
      <c r="C454" s="96" t="s">
        <v>219</v>
      </c>
      <c r="D454" s="96" t="s">
        <v>217</v>
      </c>
      <c r="E454" s="96" t="s">
        <v>752</v>
      </c>
      <c r="F454" s="96" t="s">
        <v>401</v>
      </c>
      <c r="G454" s="109">
        <v>800</v>
      </c>
      <c r="H454" s="109">
        <v>800</v>
      </c>
      <c r="I454" s="470"/>
    </row>
    <row r="455" spans="1:10" ht="35.25" customHeight="1">
      <c r="A455" s="582" t="s">
        <v>265</v>
      </c>
      <c r="B455" s="579" t="s">
        <v>612</v>
      </c>
      <c r="C455" s="580" t="s">
        <v>220</v>
      </c>
      <c r="D455" s="580"/>
      <c r="E455" s="579"/>
      <c r="F455" s="579"/>
      <c r="G455" s="581">
        <f>G456</f>
        <v>24765.368899999998</v>
      </c>
      <c r="H455" s="581">
        <f>H456</f>
        <v>1693.3688999999999</v>
      </c>
      <c r="I455" s="470"/>
    </row>
    <row r="456" spans="1:10" ht="35.25" customHeight="1">
      <c r="A456" s="583" t="s">
        <v>49</v>
      </c>
      <c r="B456" s="579" t="s">
        <v>612</v>
      </c>
      <c r="C456" s="580" t="s">
        <v>220</v>
      </c>
      <c r="D456" s="580" t="s">
        <v>220</v>
      </c>
      <c r="E456" s="579"/>
      <c r="F456" s="579"/>
      <c r="G456" s="581">
        <f>G457+G470+G464</f>
        <v>24765.368899999998</v>
      </c>
      <c r="H456" s="581">
        <f>H457+H470+H464</f>
        <v>1693.3688999999999</v>
      </c>
      <c r="I456" s="470"/>
    </row>
    <row r="457" spans="1:10" ht="35.25" customHeight="1">
      <c r="A457" s="625" t="s">
        <v>1236</v>
      </c>
      <c r="B457" s="184" t="s">
        <v>612</v>
      </c>
      <c r="C457" s="184" t="s">
        <v>220</v>
      </c>
      <c r="D457" s="184" t="s">
        <v>220</v>
      </c>
      <c r="E457" s="634" t="s">
        <v>1240</v>
      </c>
      <c r="F457" s="184"/>
      <c r="G457" s="193">
        <f t="shared" ref="G457:H459" si="17">G458</f>
        <v>1146.70785</v>
      </c>
      <c r="H457" s="193">
        <f t="shared" si="17"/>
        <v>1146.70785</v>
      </c>
      <c r="I457" s="470"/>
    </row>
    <row r="458" spans="1:10" ht="35.25" customHeight="1">
      <c r="A458" s="829" t="s">
        <v>1248</v>
      </c>
      <c r="B458" s="832" t="s">
        <v>612</v>
      </c>
      <c r="C458" s="832" t="s">
        <v>220</v>
      </c>
      <c r="D458" s="832" t="s">
        <v>220</v>
      </c>
      <c r="E458" s="827" t="s">
        <v>1241</v>
      </c>
      <c r="F458" s="832"/>
      <c r="G458" s="833">
        <f t="shared" si="17"/>
        <v>1146.70785</v>
      </c>
      <c r="H458" s="833">
        <f t="shared" si="17"/>
        <v>1146.70785</v>
      </c>
      <c r="I458" s="470"/>
    </row>
    <row r="459" spans="1:10" ht="52.5" customHeight="1">
      <c r="A459" s="829" t="s">
        <v>1237</v>
      </c>
      <c r="B459" s="832" t="s">
        <v>612</v>
      </c>
      <c r="C459" s="832" t="s">
        <v>220</v>
      </c>
      <c r="D459" s="832" t="s">
        <v>220</v>
      </c>
      <c r="E459" s="827" t="s">
        <v>1242</v>
      </c>
      <c r="F459" s="832"/>
      <c r="G459" s="833">
        <f t="shared" si="17"/>
        <v>1146.70785</v>
      </c>
      <c r="H459" s="833">
        <f t="shared" si="17"/>
        <v>1146.70785</v>
      </c>
      <c r="I459" s="537"/>
      <c r="J459" s="85"/>
    </row>
    <row r="460" spans="1:10" ht="52.5" customHeight="1">
      <c r="A460" s="74" t="s">
        <v>1207</v>
      </c>
      <c r="B460" s="149" t="s">
        <v>612</v>
      </c>
      <c r="C460" s="96" t="s">
        <v>220</v>
      </c>
      <c r="D460" s="96" t="s">
        <v>220</v>
      </c>
      <c r="E460" s="96" t="s">
        <v>1243</v>
      </c>
      <c r="F460" s="95"/>
      <c r="G460" s="109">
        <f>G461+G462+G463</f>
        <v>1146.70785</v>
      </c>
      <c r="H460" s="109">
        <f>H461+H463+H462</f>
        <v>1146.70785</v>
      </c>
      <c r="I460" s="537"/>
      <c r="J460" s="85"/>
    </row>
    <row r="461" spans="1:10" ht="52.5" customHeight="1">
      <c r="A461" s="76" t="s">
        <v>155</v>
      </c>
      <c r="B461" s="149" t="s">
        <v>612</v>
      </c>
      <c r="C461" s="96" t="s">
        <v>220</v>
      </c>
      <c r="D461" s="96" t="s">
        <v>220</v>
      </c>
      <c r="E461" s="96" t="s">
        <v>1243</v>
      </c>
      <c r="F461" s="96" t="s">
        <v>400</v>
      </c>
      <c r="G461" s="109">
        <v>873.04750000000001</v>
      </c>
      <c r="H461" s="109">
        <v>873.04750000000001</v>
      </c>
      <c r="I461" s="537"/>
      <c r="J461" s="85"/>
    </row>
    <row r="462" spans="1:10" ht="52.5" customHeight="1">
      <c r="A462" s="76" t="s">
        <v>10</v>
      </c>
      <c r="B462" s="149" t="s">
        <v>612</v>
      </c>
      <c r="C462" s="96" t="s">
        <v>220</v>
      </c>
      <c r="D462" s="96" t="s">
        <v>220</v>
      </c>
      <c r="E462" s="96" t="s">
        <v>1243</v>
      </c>
      <c r="F462" s="96" t="s">
        <v>405</v>
      </c>
      <c r="G462" s="109">
        <v>10</v>
      </c>
      <c r="H462" s="109">
        <v>10</v>
      </c>
      <c r="I462" s="537"/>
      <c r="J462" s="85"/>
    </row>
    <row r="463" spans="1:10" ht="52.5" customHeight="1">
      <c r="A463" s="195" t="s">
        <v>416</v>
      </c>
      <c r="B463" s="149" t="s">
        <v>612</v>
      </c>
      <c r="C463" s="96" t="s">
        <v>220</v>
      </c>
      <c r="D463" s="96" t="s">
        <v>220</v>
      </c>
      <c r="E463" s="96" t="s">
        <v>1243</v>
      </c>
      <c r="F463" s="96" t="s">
        <v>417</v>
      </c>
      <c r="G463" s="109">
        <v>263.66034999999999</v>
      </c>
      <c r="H463" s="109">
        <v>263.66034999999999</v>
      </c>
      <c r="I463" s="537"/>
      <c r="J463" s="85"/>
    </row>
    <row r="464" spans="1:10" ht="46.5" customHeight="1">
      <c r="A464" s="173" t="s">
        <v>1231</v>
      </c>
      <c r="B464" s="175" t="s">
        <v>612</v>
      </c>
      <c r="C464" s="175" t="s">
        <v>220</v>
      </c>
      <c r="D464" s="175" t="s">
        <v>220</v>
      </c>
      <c r="E464" s="175" t="s">
        <v>551</v>
      </c>
      <c r="F464" s="175"/>
      <c r="G464" s="177">
        <f>G465</f>
        <v>546.66104999999993</v>
      </c>
      <c r="H464" s="177">
        <f>H465</f>
        <v>546.66104999999993</v>
      </c>
      <c r="I464" s="470"/>
    </row>
    <row r="465" spans="1:10" ht="57" customHeight="1">
      <c r="A465" s="834" t="s">
        <v>863</v>
      </c>
      <c r="B465" s="835" t="s">
        <v>612</v>
      </c>
      <c r="C465" s="835" t="s">
        <v>220</v>
      </c>
      <c r="D465" s="835" t="s">
        <v>220</v>
      </c>
      <c r="E465" s="835" t="s">
        <v>551</v>
      </c>
      <c r="F465" s="835"/>
      <c r="G465" s="836">
        <f>G466</f>
        <v>546.66104999999993</v>
      </c>
      <c r="H465" s="836">
        <f>H466</f>
        <v>546.66104999999993</v>
      </c>
      <c r="I465" s="470"/>
    </row>
    <row r="466" spans="1:10" ht="50.25" customHeight="1">
      <c r="A466" s="172" t="s">
        <v>420</v>
      </c>
      <c r="B466" s="149" t="s">
        <v>612</v>
      </c>
      <c r="C466" s="96" t="s">
        <v>220</v>
      </c>
      <c r="D466" s="96" t="s">
        <v>220</v>
      </c>
      <c r="E466" s="149" t="s">
        <v>1215</v>
      </c>
      <c r="F466" s="149"/>
      <c r="G466" s="109">
        <f>G467+G468+G469</f>
        <v>546.66104999999993</v>
      </c>
      <c r="H466" s="109">
        <f>H467+H468+H469</f>
        <v>546.66104999999993</v>
      </c>
      <c r="I466" s="470"/>
    </row>
    <row r="467" spans="1:10" ht="21" customHeight="1">
      <c r="A467" s="152" t="s">
        <v>267</v>
      </c>
      <c r="B467" s="149" t="s">
        <v>612</v>
      </c>
      <c r="C467" s="96" t="s">
        <v>220</v>
      </c>
      <c r="D467" s="96" t="s">
        <v>220</v>
      </c>
      <c r="E467" s="149" t="s">
        <v>1215</v>
      </c>
      <c r="F467" s="149" t="s">
        <v>401</v>
      </c>
      <c r="G467" s="109">
        <v>260.73226</v>
      </c>
      <c r="H467" s="109">
        <v>260.73226</v>
      </c>
      <c r="I467" s="470"/>
    </row>
    <row r="468" spans="1:10" ht="21" customHeight="1">
      <c r="A468" s="3" t="s">
        <v>1026</v>
      </c>
      <c r="B468" s="149" t="s">
        <v>612</v>
      </c>
      <c r="C468" s="96" t="s">
        <v>220</v>
      </c>
      <c r="D468" s="96" t="s">
        <v>220</v>
      </c>
      <c r="E468" s="149" t="s">
        <v>1215</v>
      </c>
      <c r="F468" s="149" t="s">
        <v>1025</v>
      </c>
      <c r="G468" s="109">
        <v>280.49878999999999</v>
      </c>
      <c r="H468" s="109">
        <v>280.49878999999999</v>
      </c>
      <c r="I468" s="470"/>
    </row>
    <row r="469" spans="1:10" ht="21" customHeight="1">
      <c r="A469" s="76" t="s">
        <v>403</v>
      </c>
      <c r="B469" s="98">
        <v>937</v>
      </c>
      <c r="C469" s="96" t="s">
        <v>220</v>
      </c>
      <c r="D469" s="96" t="s">
        <v>220</v>
      </c>
      <c r="E469" s="96" t="s">
        <v>1216</v>
      </c>
      <c r="F469" s="423">
        <v>851</v>
      </c>
      <c r="G469" s="109">
        <v>5.43</v>
      </c>
      <c r="H469" s="109">
        <v>5.43</v>
      </c>
      <c r="I469" s="470"/>
    </row>
    <row r="470" spans="1:10" ht="40.5" customHeight="1">
      <c r="A470" s="416" t="s">
        <v>1211</v>
      </c>
      <c r="B470" s="184" t="s">
        <v>612</v>
      </c>
      <c r="C470" s="184" t="s">
        <v>220</v>
      </c>
      <c r="D470" s="184" t="s">
        <v>220</v>
      </c>
      <c r="E470" s="191" t="s">
        <v>727</v>
      </c>
      <c r="F470" s="850"/>
      <c r="G470" s="193">
        <f>G471</f>
        <v>23072</v>
      </c>
      <c r="H470" s="193">
        <v>0</v>
      </c>
      <c r="I470" s="470"/>
    </row>
    <row r="471" spans="1:10" ht="58.5" customHeight="1">
      <c r="A471" s="208" t="s">
        <v>862</v>
      </c>
      <c r="B471" s="204" t="s">
        <v>612</v>
      </c>
      <c r="C471" s="204" t="s">
        <v>220</v>
      </c>
      <c r="D471" s="204" t="s">
        <v>220</v>
      </c>
      <c r="E471" s="341" t="s">
        <v>727</v>
      </c>
      <c r="F471" s="423"/>
      <c r="G471" s="109">
        <f>G472</f>
        <v>23072</v>
      </c>
      <c r="H471" s="109">
        <v>0</v>
      </c>
      <c r="I471" s="470"/>
    </row>
    <row r="472" spans="1:10" ht="53.25" customHeight="1">
      <c r="A472" s="152" t="s">
        <v>708</v>
      </c>
      <c r="B472" s="149" t="s">
        <v>612</v>
      </c>
      <c r="C472" s="96" t="s">
        <v>220</v>
      </c>
      <c r="D472" s="96" t="s">
        <v>220</v>
      </c>
      <c r="E472" s="96" t="s">
        <v>709</v>
      </c>
      <c r="F472" s="96"/>
      <c r="G472" s="109">
        <f>G473</f>
        <v>23072</v>
      </c>
      <c r="H472" s="109">
        <f>H473</f>
        <v>0</v>
      </c>
      <c r="I472" s="470"/>
      <c r="J472" s="85"/>
    </row>
    <row r="473" spans="1:10" ht="40.5" customHeight="1">
      <c r="A473" s="152" t="s">
        <v>713</v>
      </c>
      <c r="B473" s="149" t="s">
        <v>612</v>
      </c>
      <c r="C473" s="96" t="s">
        <v>220</v>
      </c>
      <c r="D473" s="96" t="s">
        <v>220</v>
      </c>
      <c r="E473" s="96" t="s">
        <v>709</v>
      </c>
      <c r="F473" s="96" t="s">
        <v>100</v>
      </c>
      <c r="G473" s="109">
        <v>23072</v>
      </c>
      <c r="H473" s="109">
        <v>0</v>
      </c>
      <c r="I473" s="470" t="s">
        <v>710</v>
      </c>
      <c r="J473" s="70" t="s">
        <v>711</v>
      </c>
    </row>
    <row r="474" spans="1:10" ht="40.5" customHeight="1">
      <c r="A474" s="80" t="s">
        <v>396</v>
      </c>
      <c r="B474" s="103" t="s">
        <v>612</v>
      </c>
      <c r="C474" s="103" t="s">
        <v>212</v>
      </c>
      <c r="D474" s="103"/>
      <c r="E474" s="103"/>
      <c r="F474" s="423"/>
      <c r="G474" s="109">
        <f t="shared" ref="G474:H478" si="18">G475</f>
        <v>64814.2</v>
      </c>
      <c r="H474" s="109">
        <f t="shared" si="18"/>
        <v>0</v>
      </c>
      <c r="I474" s="470"/>
    </row>
    <row r="475" spans="1:10" ht="40.5" customHeight="1">
      <c r="A475" s="80" t="s">
        <v>345</v>
      </c>
      <c r="B475" s="103" t="s">
        <v>612</v>
      </c>
      <c r="C475" s="103" t="s">
        <v>212</v>
      </c>
      <c r="D475" s="103" t="s">
        <v>210</v>
      </c>
      <c r="E475" s="103"/>
      <c r="F475" s="423"/>
      <c r="G475" s="109">
        <f>G476</f>
        <v>64814.2</v>
      </c>
      <c r="H475" s="109">
        <f>H476</f>
        <v>0</v>
      </c>
      <c r="I475" s="470"/>
    </row>
    <row r="476" spans="1:10" ht="40.5" customHeight="1">
      <c r="A476" s="416" t="s">
        <v>1211</v>
      </c>
      <c r="B476" s="184" t="s">
        <v>612</v>
      </c>
      <c r="C476" s="184" t="s">
        <v>212</v>
      </c>
      <c r="D476" s="184" t="s">
        <v>210</v>
      </c>
      <c r="E476" s="191" t="s">
        <v>727</v>
      </c>
      <c r="F476" s="850"/>
      <c r="G476" s="193">
        <f>G477</f>
        <v>64814.2</v>
      </c>
      <c r="H476" s="193">
        <v>0</v>
      </c>
      <c r="I476" s="470"/>
    </row>
    <row r="477" spans="1:10" ht="58.5" customHeight="1">
      <c r="A477" s="208" t="s">
        <v>862</v>
      </c>
      <c r="B477" s="204" t="s">
        <v>612</v>
      </c>
      <c r="C477" s="204" t="s">
        <v>212</v>
      </c>
      <c r="D477" s="204" t="s">
        <v>210</v>
      </c>
      <c r="E477" s="341" t="s">
        <v>727</v>
      </c>
      <c r="F477" s="423"/>
      <c r="G477" s="109">
        <f>G478</f>
        <v>64814.2</v>
      </c>
      <c r="H477" s="109">
        <v>0</v>
      </c>
      <c r="I477" s="470"/>
    </row>
    <row r="478" spans="1:10" ht="55.5" customHeight="1">
      <c r="A478" s="76" t="s">
        <v>764</v>
      </c>
      <c r="B478" s="96" t="s">
        <v>612</v>
      </c>
      <c r="C478" s="96" t="s">
        <v>212</v>
      </c>
      <c r="D478" s="96" t="s">
        <v>210</v>
      </c>
      <c r="E478" s="149" t="s">
        <v>769</v>
      </c>
      <c r="F478" s="96"/>
      <c r="G478" s="109">
        <f t="shared" si="18"/>
        <v>64814.2</v>
      </c>
      <c r="H478" s="109">
        <f t="shared" si="18"/>
        <v>0</v>
      </c>
      <c r="I478" s="470"/>
    </row>
    <row r="479" spans="1:10" ht="40.5" customHeight="1">
      <c r="A479" s="152" t="s">
        <v>713</v>
      </c>
      <c r="B479" s="96" t="s">
        <v>612</v>
      </c>
      <c r="C479" s="96" t="s">
        <v>212</v>
      </c>
      <c r="D479" s="96" t="s">
        <v>210</v>
      </c>
      <c r="E479" s="149" t="s">
        <v>769</v>
      </c>
      <c r="F479" s="96" t="s">
        <v>100</v>
      </c>
      <c r="G479" s="109">
        <v>64814.2</v>
      </c>
      <c r="H479" s="109">
        <v>0</v>
      </c>
      <c r="I479" s="470"/>
    </row>
    <row r="480" spans="1:10">
      <c r="A480" s="592" t="s">
        <v>451</v>
      </c>
      <c r="B480" s="96" t="s">
        <v>449</v>
      </c>
      <c r="C480" s="96" t="s">
        <v>450</v>
      </c>
      <c r="D480" s="96" t="s">
        <v>450</v>
      </c>
      <c r="E480" s="96"/>
      <c r="F480" s="96"/>
      <c r="G480" s="109">
        <f t="shared" ref="G480:H484" si="19">G481</f>
        <v>8580.7950000000001</v>
      </c>
      <c r="H480" s="109">
        <f t="shared" si="19"/>
        <v>17626.344999999998</v>
      </c>
      <c r="I480" s="470"/>
    </row>
    <row r="481" spans="1:12">
      <c r="A481" s="370" t="s">
        <v>451</v>
      </c>
      <c r="B481" s="96" t="s">
        <v>449</v>
      </c>
      <c r="C481" s="96" t="s">
        <v>450</v>
      </c>
      <c r="D481" s="96" t="s">
        <v>450</v>
      </c>
      <c r="E481" s="96" t="s">
        <v>1</v>
      </c>
      <c r="F481" s="96"/>
      <c r="G481" s="109">
        <f t="shared" si="19"/>
        <v>8580.7950000000001</v>
      </c>
      <c r="H481" s="109">
        <f t="shared" si="19"/>
        <v>17626.344999999998</v>
      </c>
      <c r="I481" s="470"/>
    </row>
    <row r="482" spans="1:12">
      <c r="A482" s="370" t="s">
        <v>453</v>
      </c>
      <c r="B482" s="96" t="s">
        <v>449</v>
      </c>
      <c r="C482" s="96" t="s">
        <v>450</v>
      </c>
      <c r="D482" s="96" t="s">
        <v>450</v>
      </c>
      <c r="E482" s="96" t="s">
        <v>503</v>
      </c>
      <c r="F482" s="96"/>
      <c r="G482" s="109">
        <f t="shared" si="19"/>
        <v>8580.7950000000001</v>
      </c>
      <c r="H482" s="109">
        <f t="shared" si="19"/>
        <v>17626.344999999998</v>
      </c>
      <c r="I482" s="470"/>
    </row>
    <row r="483" spans="1:12">
      <c r="A483" s="370" t="s">
        <v>452</v>
      </c>
      <c r="B483" s="96" t="s">
        <v>449</v>
      </c>
      <c r="C483" s="96" t="s">
        <v>450</v>
      </c>
      <c r="D483" s="96" t="s">
        <v>450</v>
      </c>
      <c r="E483" s="369" t="s">
        <v>503</v>
      </c>
      <c r="F483" s="96"/>
      <c r="G483" s="109">
        <f t="shared" si="19"/>
        <v>8580.7950000000001</v>
      </c>
      <c r="H483" s="109">
        <f t="shared" si="19"/>
        <v>17626.344999999998</v>
      </c>
      <c r="I483" s="470"/>
    </row>
    <row r="484" spans="1:12">
      <c r="A484" s="370" t="s">
        <v>451</v>
      </c>
      <c r="B484" s="96" t="s">
        <v>449</v>
      </c>
      <c r="C484" s="96" t="s">
        <v>450</v>
      </c>
      <c r="D484" s="96" t="s">
        <v>450</v>
      </c>
      <c r="E484" s="369" t="s">
        <v>488</v>
      </c>
      <c r="F484" s="96"/>
      <c r="G484" s="109">
        <f t="shared" si="19"/>
        <v>8580.7950000000001</v>
      </c>
      <c r="H484" s="109">
        <f t="shared" si="19"/>
        <v>17626.344999999998</v>
      </c>
      <c r="I484" s="470"/>
    </row>
    <row r="485" spans="1:12">
      <c r="A485" s="370" t="s">
        <v>451</v>
      </c>
      <c r="B485" s="96" t="s">
        <v>449</v>
      </c>
      <c r="C485" s="96" t="s">
        <v>450</v>
      </c>
      <c r="D485" s="96" t="s">
        <v>450</v>
      </c>
      <c r="E485" s="369" t="s">
        <v>488</v>
      </c>
      <c r="F485" s="96" t="s">
        <v>449</v>
      </c>
      <c r="G485" s="109">
        <f>(пр.5!G11+пр.7!D14)*2.5%</f>
        <v>8580.7950000000001</v>
      </c>
      <c r="H485" s="109">
        <f>(пр.5!H11+пр.7!E14)*5%</f>
        <v>17626.344999999998</v>
      </c>
      <c r="I485" s="470"/>
    </row>
    <row r="486" spans="1:12" ht="21.75" customHeight="1">
      <c r="A486" s="126" t="s">
        <v>115</v>
      </c>
      <c r="B486" s="96"/>
      <c r="C486" s="96"/>
      <c r="D486" s="96"/>
      <c r="E486" s="96"/>
      <c r="F486" s="102"/>
      <c r="G486" s="104">
        <f>G13+G39+G61+G329+G433+G480</f>
        <v>1096992.2000000002</v>
      </c>
      <c r="H486" s="104">
        <f>H13+H39+H61+H329+H433+H480</f>
        <v>1044405.4999999999</v>
      </c>
      <c r="I486" s="537"/>
      <c r="J486" s="537"/>
      <c r="K486" s="85"/>
      <c r="L486" s="85"/>
    </row>
    <row r="487" spans="1:12" ht="29.25" customHeight="1">
      <c r="G487" s="85">
        <f>пр.5!G11+пр.7!D12</f>
        <v>1096992.2000000002</v>
      </c>
      <c r="H487" s="85">
        <f>пр.5!H11+пр.7!E12</f>
        <v>1044405.5</v>
      </c>
    </row>
    <row r="488" spans="1:12" ht="26.25" customHeight="1">
      <c r="G488" s="85">
        <f>G487-G486</f>
        <v>0</v>
      </c>
      <c r="H488" s="85">
        <f>H487-H486</f>
        <v>0</v>
      </c>
    </row>
    <row r="490" spans="1:12">
      <c r="I490" s="536"/>
      <c r="J490" s="85"/>
    </row>
  </sheetData>
  <autoFilter ref="A12:R488"/>
  <mergeCells count="8">
    <mergeCell ref="E7:H7"/>
    <mergeCell ref="A9:G10"/>
    <mergeCell ref="E1:H1"/>
    <mergeCell ref="E2:H2"/>
    <mergeCell ref="F3:H3"/>
    <mergeCell ref="F4:H4"/>
    <mergeCell ref="F5:H5"/>
    <mergeCell ref="E6:H6"/>
  </mergeCells>
  <hyperlinks>
    <hyperlink ref="A57" r:id="rId1" tooltip="Муниципальные образования" display="http://www.pandia.ru/text/category/munitcipalmznie_obrazovaniya/"/>
  </hyperlinks>
  <pageMargins left="0.70866141732283472" right="0.70866141732283472" top="0.74803149606299213" bottom="0.74803149606299213" header="0.31496062992125984" footer="0.31496062992125984"/>
  <pageSetup paperSize="9" scale="50" orientation="portrait" r:id="rId2"/>
  <legacyDrawing r:id="rId3"/>
</worksheet>
</file>

<file path=xl/worksheets/sheet12.xml><?xml version="1.0" encoding="utf-8"?>
<worksheet xmlns="http://schemas.openxmlformats.org/spreadsheetml/2006/main" xmlns:r="http://schemas.openxmlformats.org/officeDocument/2006/relationships">
  <sheetPr enableFormatConditionsCalculation="0">
    <tabColor rgb="FFFFFF00"/>
  </sheetPr>
  <dimension ref="A1:G31"/>
  <sheetViews>
    <sheetView view="pageBreakPreview" workbookViewId="0">
      <selection activeCell="F23" sqref="F23"/>
    </sheetView>
  </sheetViews>
  <sheetFormatPr defaultRowHeight="12.75"/>
  <cols>
    <col min="1" max="1" width="27" style="4" customWidth="1"/>
    <col min="2" max="2" width="53.28515625" style="4" customWidth="1"/>
    <col min="3" max="3" width="19.5703125" style="4" customWidth="1"/>
    <col min="4" max="5" width="10.85546875" style="4" bestFit="1" customWidth="1"/>
    <col min="6" max="6" width="9.140625" style="4"/>
    <col min="7" max="7" width="12.85546875" style="4" bestFit="1" customWidth="1"/>
    <col min="8" max="16384" width="9.140625" style="4"/>
  </cols>
  <sheetData>
    <row r="1" spans="1:6">
      <c r="C1" s="22" t="s">
        <v>448</v>
      </c>
    </row>
    <row r="2" spans="1:6">
      <c r="C2" s="22" t="s">
        <v>199</v>
      </c>
    </row>
    <row r="3" spans="1:6">
      <c r="C3" s="22" t="s">
        <v>298</v>
      </c>
    </row>
    <row r="4" spans="1:6">
      <c r="A4" s="29"/>
      <c r="C4" s="22" t="s">
        <v>148</v>
      </c>
    </row>
    <row r="5" spans="1:6">
      <c r="A5" s="37"/>
      <c r="C5" s="22" t="s">
        <v>299</v>
      </c>
    </row>
    <row r="6" spans="1:6">
      <c r="A6" s="38"/>
      <c r="C6" s="786" t="s">
        <v>1172</v>
      </c>
    </row>
    <row r="7" spans="1:6">
      <c r="A7" s="38"/>
      <c r="B7" s="972" t="s">
        <v>1277</v>
      </c>
      <c r="C7" s="972"/>
      <c r="D7" s="155"/>
    </row>
    <row r="8" spans="1:6">
      <c r="A8" s="24"/>
      <c r="B8" s="24"/>
      <c r="C8" s="24"/>
    </row>
    <row r="9" spans="1:6">
      <c r="A9" s="948" t="s">
        <v>1171</v>
      </c>
      <c r="B9" s="948"/>
      <c r="C9" s="948"/>
    </row>
    <row r="10" spans="1:6" ht="26.25" customHeight="1">
      <c r="A10" s="994"/>
      <c r="B10" s="994"/>
      <c r="C10" s="994"/>
    </row>
    <row r="11" spans="1:6">
      <c r="A11" s="40"/>
      <c r="C11" s="22" t="s">
        <v>150</v>
      </c>
    </row>
    <row r="12" spans="1:6" ht="21" customHeight="1">
      <c r="A12" s="31" t="s">
        <v>75</v>
      </c>
      <c r="B12" s="31" t="s">
        <v>204</v>
      </c>
      <c r="C12" s="31" t="s">
        <v>76</v>
      </c>
    </row>
    <row r="13" spans="1:6">
      <c r="A13" s="48" t="s">
        <v>89</v>
      </c>
      <c r="B13" s="25" t="s">
        <v>77</v>
      </c>
      <c r="C13" s="224">
        <f>C14</f>
        <v>-675</v>
      </c>
      <c r="F13" s="236"/>
    </row>
    <row r="14" spans="1:6" s="18" customFormat="1" ht="25.5">
      <c r="A14" s="49" t="s">
        <v>90</v>
      </c>
      <c r="B14" s="34" t="s">
        <v>78</v>
      </c>
      <c r="C14" s="225">
        <f>C15+C23+C20</f>
        <v>-675</v>
      </c>
    </row>
    <row r="15" spans="1:6" s="18" customFormat="1" ht="25.5">
      <c r="A15" s="49" t="s">
        <v>91</v>
      </c>
      <c r="B15" s="34" t="s">
        <v>200</v>
      </c>
      <c r="C15" s="225">
        <f>C16+C17</f>
        <v>-675</v>
      </c>
      <c r="D15" s="237"/>
      <c r="E15" s="237"/>
    </row>
    <row r="16" spans="1:6" ht="26.25" customHeight="1">
      <c r="A16" s="48" t="s">
        <v>92</v>
      </c>
      <c r="B16" s="25" t="s">
        <v>174</v>
      </c>
      <c r="C16" s="224">
        <f>C18</f>
        <v>0</v>
      </c>
    </row>
    <row r="17" spans="1:7" ht="38.25">
      <c r="A17" s="48" t="s">
        <v>93</v>
      </c>
      <c r="B17" s="25" t="s">
        <v>175</v>
      </c>
      <c r="C17" s="224">
        <v>-675</v>
      </c>
    </row>
    <row r="18" spans="1:7" ht="38.25">
      <c r="A18" s="48" t="s">
        <v>94</v>
      </c>
      <c r="B18" s="25" t="s">
        <v>7</v>
      </c>
      <c r="C18" s="224">
        <v>0</v>
      </c>
    </row>
    <row r="19" spans="1:7" ht="38.25">
      <c r="A19" s="48" t="s">
        <v>95</v>
      </c>
      <c r="B19" s="25" t="s">
        <v>8</v>
      </c>
      <c r="C19" s="224">
        <v>0</v>
      </c>
    </row>
    <row r="20" spans="1:7" ht="25.5" hidden="1">
      <c r="A20" s="49" t="s">
        <v>428</v>
      </c>
      <c r="B20" s="34" t="s">
        <v>429</v>
      </c>
      <c r="C20" s="225">
        <f>C21</f>
        <v>0</v>
      </c>
    </row>
    <row r="21" spans="1:7" ht="25.5" hidden="1">
      <c r="A21" s="48" t="s">
        <v>485</v>
      </c>
      <c r="B21" s="25" t="s">
        <v>160</v>
      </c>
      <c r="C21" s="224">
        <v>0</v>
      </c>
    </row>
    <row r="22" spans="1:7" ht="24.75" hidden="1" customHeight="1">
      <c r="A22" s="48" t="s">
        <v>486</v>
      </c>
      <c r="B22" s="25" t="s">
        <v>161</v>
      </c>
      <c r="C22" s="224">
        <v>0</v>
      </c>
    </row>
    <row r="23" spans="1:7" s="18" customFormat="1" ht="25.5">
      <c r="A23" s="49" t="s">
        <v>96</v>
      </c>
      <c r="B23" s="34" t="s">
        <v>176</v>
      </c>
      <c r="C23" s="225">
        <f>C24+C25</f>
        <v>0</v>
      </c>
      <c r="G23" s="237"/>
    </row>
    <row r="24" spans="1:7">
      <c r="A24" s="48" t="s">
        <v>97</v>
      </c>
      <c r="B24" s="25" t="s">
        <v>177</v>
      </c>
      <c r="C24" s="145">
        <f>C26</f>
        <v>-1196649.9000000001</v>
      </c>
      <c r="G24" s="236"/>
    </row>
    <row r="25" spans="1:7">
      <c r="A25" s="48" t="s">
        <v>288</v>
      </c>
      <c r="B25" s="25" t="s">
        <v>178</v>
      </c>
      <c r="C25" s="145">
        <f>C29</f>
        <v>1196649.9000000004</v>
      </c>
    </row>
    <row r="26" spans="1:7">
      <c r="A26" s="48" t="s">
        <v>289</v>
      </c>
      <c r="B26" s="25" t="s">
        <v>83</v>
      </c>
      <c r="C26" s="145">
        <f>C27</f>
        <v>-1196649.9000000001</v>
      </c>
      <c r="D26" s="4" t="s">
        <v>202</v>
      </c>
    </row>
    <row r="27" spans="1:7">
      <c r="A27" s="48" t="s">
        <v>290</v>
      </c>
      <c r="B27" s="25" t="s">
        <v>84</v>
      </c>
      <c r="C27" s="145">
        <f>C28</f>
        <v>-1196649.9000000001</v>
      </c>
      <c r="G27" s="236"/>
    </row>
    <row r="28" spans="1:7" ht="25.5">
      <c r="A28" s="48" t="s">
        <v>291</v>
      </c>
      <c r="B28" s="25" t="s">
        <v>85</v>
      </c>
      <c r="C28" s="145">
        <f>-пр.4!D11-'пр.6 '!D11-'пр.12 2022г'!C18</f>
        <v>-1196649.9000000001</v>
      </c>
    </row>
    <row r="29" spans="1:7">
      <c r="A29" s="48" t="s">
        <v>292</v>
      </c>
      <c r="B29" s="25" t="s">
        <v>86</v>
      </c>
      <c r="C29" s="145">
        <f>'пр. 10 2022г'!G597-'пр.12 2022г'!C17</f>
        <v>1196649.9000000004</v>
      </c>
      <c r="D29" s="4" t="s">
        <v>203</v>
      </c>
    </row>
    <row r="30" spans="1:7">
      <c r="A30" s="48" t="s">
        <v>293</v>
      </c>
      <c r="B30" s="25" t="s">
        <v>87</v>
      </c>
      <c r="C30" s="145">
        <f>C29</f>
        <v>1196649.9000000004</v>
      </c>
    </row>
    <row r="31" spans="1:7" ht="25.5">
      <c r="A31" s="227" t="s">
        <v>294</v>
      </c>
      <c r="B31" s="228" t="s">
        <v>88</v>
      </c>
      <c r="C31" s="765">
        <f>C30</f>
        <v>1196649.9000000004</v>
      </c>
    </row>
  </sheetData>
  <mergeCells count="2">
    <mergeCell ref="B7:C7"/>
    <mergeCell ref="A9:C10"/>
  </mergeCells>
  <phoneticPr fontId="16" type="noConversion"/>
  <pageMargins left="0.70866141732283472" right="0.70866141732283472" top="0.74803149606299213" bottom="0.74803149606299213"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sheetPr>
    <tabColor rgb="FFFFFF00"/>
  </sheetPr>
  <dimension ref="A1:R37"/>
  <sheetViews>
    <sheetView view="pageBreakPreview" zoomScale="73" zoomScaleSheetLayoutView="73" workbookViewId="0">
      <selection activeCell="K32" sqref="K32"/>
    </sheetView>
  </sheetViews>
  <sheetFormatPr defaultRowHeight="12.75"/>
  <cols>
    <col min="1" max="1" width="27" style="4" customWidth="1"/>
    <col min="2" max="2" width="53.28515625" style="4" customWidth="1"/>
    <col min="3" max="4" width="15.5703125" style="4" customWidth="1"/>
    <col min="5" max="5" width="9.140625" style="4"/>
    <col min="6" max="6" width="10.85546875" style="4" customWidth="1"/>
    <col min="7" max="7" width="9.140625" style="4"/>
    <col min="8" max="8" width="9.42578125" style="4" bestFit="1" customWidth="1"/>
    <col min="9" max="10" width="9.140625" style="4"/>
    <col min="11" max="11" width="71.5703125" style="4" customWidth="1"/>
    <col min="12" max="12" width="9.28515625" style="4" bestFit="1" customWidth="1"/>
    <col min="13" max="16" width="9.140625" style="4"/>
    <col min="17" max="20" width="15.7109375" style="4" bestFit="1" customWidth="1"/>
    <col min="21" max="16384" width="9.140625" style="4"/>
  </cols>
  <sheetData>
    <row r="1" spans="1:7">
      <c r="D1" s="22" t="s">
        <v>456</v>
      </c>
    </row>
    <row r="2" spans="1:7">
      <c r="D2" s="22" t="s">
        <v>199</v>
      </c>
    </row>
    <row r="3" spans="1:7">
      <c r="D3" s="22" t="s">
        <v>298</v>
      </c>
    </row>
    <row r="4" spans="1:7">
      <c r="A4" s="29"/>
      <c r="D4" s="22" t="s">
        <v>148</v>
      </c>
    </row>
    <row r="5" spans="1:7">
      <c r="A5" s="37"/>
      <c r="D5" s="22" t="s">
        <v>299</v>
      </c>
    </row>
    <row r="6" spans="1:7">
      <c r="A6" s="38"/>
      <c r="C6" s="22"/>
      <c r="D6" s="786" t="s">
        <v>1172</v>
      </c>
    </row>
    <row r="7" spans="1:7">
      <c r="A7" s="38"/>
      <c r="B7" s="972" t="s">
        <v>1176</v>
      </c>
      <c r="C7" s="972"/>
      <c r="D7" s="972"/>
    </row>
    <row r="8" spans="1:7">
      <c r="A8" s="24"/>
      <c r="B8" s="24"/>
      <c r="C8" s="24"/>
      <c r="D8" s="24"/>
    </row>
    <row r="9" spans="1:7" ht="12.75" customHeight="1">
      <c r="A9" s="948" t="s">
        <v>921</v>
      </c>
      <c r="B9" s="948"/>
      <c r="C9" s="948"/>
      <c r="D9" s="948"/>
    </row>
    <row r="10" spans="1:7" ht="26.25" customHeight="1">
      <c r="A10" s="948"/>
      <c r="B10" s="948"/>
      <c r="C10" s="948"/>
      <c r="D10" s="948"/>
    </row>
    <row r="11" spans="1:7">
      <c r="A11" s="40"/>
      <c r="D11" s="22" t="s">
        <v>150</v>
      </c>
    </row>
    <row r="12" spans="1:7">
      <c r="A12" s="995" t="s">
        <v>75</v>
      </c>
      <c r="B12" s="995" t="s">
        <v>204</v>
      </c>
      <c r="C12" s="463" t="s">
        <v>927</v>
      </c>
      <c r="D12" s="463" t="s">
        <v>1177</v>
      </c>
    </row>
    <row r="13" spans="1:7" ht="21" customHeight="1">
      <c r="A13" s="996"/>
      <c r="B13" s="996"/>
      <c r="C13" s="31" t="s">
        <v>76</v>
      </c>
      <c r="D13" s="31" t="s">
        <v>76</v>
      </c>
    </row>
    <row r="14" spans="1:7">
      <c r="A14" s="48" t="s">
        <v>89</v>
      </c>
      <c r="B14" s="25" t="s">
        <v>77</v>
      </c>
      <c r="C14" s="224">
        <f>C15</f>
        <v>0</v>
      </c>
      <c r="D14" s="224">
        <f>D15</f>
        <v>0</v>
      </c>
      <c r="G14" s="236"/>
    </row>
    <row r="15" spans="1:7" s="18" customFormat="1" ht="25.5">
      <c r="A15" s="49" t="s">
        <v>90</v>
      </c>
      <c r="B15" s="34" t="s">
        <v>78</v>
      </c>
      <c r="C15" s="225">
        <f>C16-C24</f>
        <v>0</v>
      </c>
      <c r="D15" s="225">
        <v>0</v>
      </c>
    </row>
    <row r="16" spans="1:7" s="18" customFormat="1" ht="25.5">
      <c r="A16" s="49" t="s">
        <v>91</v>
      </c>
      <c r="B16" s="34" t="s">
        <v>200</v>
      </c>
      <c r="C16" s="225">
        <f>C17+C18</f>
        <v>0</v>
      </c>
      <c r="D16" s="225">
        <f>D17+D18</f>
        <v>0</v>
      </c>
      <c r="F16" s="237"/>
    </row>
    <row r="17" spans="1:4" ht="42" customHeight="1">
      <c r="A17" s="48" t="s">
        <v>92</v>
      </c>
      <c r="B17" s="25" t="s">
        <v>174</v>
      </c>
      <c r="C17" s="224">
        <v>0</v>
      </c>
      <c r="D17" s="224">
        <v>0</v>
      </c>
    </row>
    <row r="18" spans="1:4" ht="38.25">
      <c r="A18" s="48" t="s">
        <v>93</v>
      </c>
      <c r="B18" s="25" t="s">
        <v>175</v>
      </c>
      <c r="C18" s="224">
        <f>C20</f>
        <v>0</v>
      </c>
      <c r="D18" s="224">
        <v>0</v>
      </c>
    </row>
    <row r="19" spans="1:4" ht="38.25">
      <c r="A19" s="48" t="s">
        <v>94</v>
      </c>
      <c r="B19" s="25" t="s">
        <v>7</v>
      </c>
      <c r="C19" s="224">
        <v>0</v>
      </c>
      <c r="D19" s="224">
        <v>0</v>
      </c>
    </row>
    <row r="20" spans="1:4" ht="38.25">
      <c r="A20" s="48" t="s">
        <v>95</v>
      </c>
      <c r="B20" s="25" t="s">
        <v>8</v>
      </c>
      <c r="C20" s="224">
        <v>0</v>
      </c>
      <c r="D20" s="224">
        <v>0</v>
      </c>
    </row>
    <row r="21" spans="1:4" ht="25.5">
      <c r="A21" s="49" t="s">
        <v>428</v>
      </c>
      <c r="B21" s="34" t="s">
        <v>429</v>
      </c>
      <c r="C21" s="225">
        <v>0</v>
      </c>
      <c r="D21" s="225">
        <v>0</v>
      </c>
    </row>
    <row r="22" spans="1:4" ht="25.5">
      <c r="A22" s="48" t="s">
        <v>485</v>
      </c>
      <c r="B22" s="539" t="s">
        <v>160</v>
      </c>
      <c r="C22" s="224">
        <v>0</v>
      </c>
      <c r="D22" s="145">
        <v>0</v>
      </c>
    </row>
    <row r="23" spans="1:4" ht="25.5">
      <c r="A23" s="48" t="s">
        <v>486</v>
      </c>
      <c r="B23" s="539" t="s">
        <v>161</v>
      </c>
      <c r="C23" s="224">
        <v>0</v>
      </c>
      <c r="D23" s="145">
        <v>0</v>
      </c>
    </row>
    <row r="24" spans="1:4" ht="25.5">
      <c r="A24" s="49" t="s">
        <v>96</v>
      </c>
      <c r="B24" s="34" t="s">
        <v>176</v>
      </c>
      <c r="C24" s="225">
        <f>C25+C26</f>
        <v>0</v>
      </c>
      <c r="D24" s="225">
        <f>D25+D26</f>
        <v>0</v>
      </c>
    </row>
    <row r="25" spans="1:4">
      <c r="A25" s="48" t="s">
        <v>97</v>
      </c>
      <c r="B25" s="539" t="s">
        <v>177</v>
      </c>
      <c r="C25" s="226">
        <f>C27</f>
        <v>-1096992.2000000002</v>
      </c>
      <c r="D25" s="544">
        <f>D27</f>
        <v>-1044405.5</v>
      </c>
    </row>
    <row r="26" spans="1:4">
      <c r="A26" s="48" t="s">
        <v>288</v>
      </c>
      <c r="B26" s="539" t="s">
        <v>178</v>
      </c>
      <c r="C26" s="226">
        <f>C30</f>
        <v>1096992.1999999997</v>
      </c>
      <c r="D26" s="544">
        <f>D29</f>
        <v>1044405.4999999999</v>
      </c>
    </row>
    <row r="27" spans="1:4">
      <c r="A27" s="48" t="s">
        <v>289</v>
      </c>
      <c r="B27" s="539" t="s">
        <v>83</v>
      </c>
      <c r="C27" s="226">
        <f>C28</f>
        <v>-1096992.2000000002</v>
      </c>
      <c r="D27" s="544">
        <f>D28</f>
        <v>-1044405.5</v>
      </c>
    </row>
    <row r="28" spans="1:4">
      <c r="A28" s="48" t="s">
        <v>290</v>
      </c>
      <c r="B28" s="539" t="s">
        <v>84</v>
      </c>
      <c r="C28" s="226">
        <f>-C29</f>
        <v>-1096992.2000000002</v>
      </c>
      <c r="D28" s="544">
        <f>-пр.5!H11-пр.7!E12</f>
        <v>-1044405.5</v>
      </c>
    </row>
    <row r="29" spans="1:4" ht="25.5">
      <c r="A29" s="48" t="s">
        <v>291</v>
      </c>
      <c r="B29" s="539" t="s">
        <v>85</v>
      </c>
      <c r="C29" s="226">
        <f>пр.5!G11+пр.7!D12</f>
        <v>1096992.2000000002</v>
      </c>
      <c r="D29" s="543">
        <f>D30</f>
        <v>1044405.4999999999</v>
      </c>
    </row>
    <row r="30" spans="1:4">
      <c r="A30" s="48" t="s">
        <v>292</v>
      </c>
      <c r="B30" s="539" t="s">
        <v>86</v>
      </c>
      <c r="C30" s="226">
        <f>C31</f>
        <v>1096992.1999999997</v>
      </c>
      <c r="D30" s="543">
        <f>D31</f>
        <v>1044405.4999999999</v>
      </c>
    </row>
    <row r="31" spans="1:4">
      <c r="A31" s="227" t="s">
        <v>293</v>
      </c>
      <c r="B31" s="228" t="s">
        <v>87</v>
      </c>
      <c r="C31" s="226">
        <f>C32</f>
        <v>1096992.1999999997</v>
      </c>
      <c r="D31" s="543">
        <f>D32</f>
        <v>1044405.4999999999</v>
      </c>
    </row>
    <row r="32" spans="1:4" ht="25.5">
      <c r="A32" s="499" t="s">
        <v>294</v>
      </c>
      <c r="B32" s="539" t="s">
        <v>88</v>
      </c>
      <c r="C32" s="226">
        <f>'пр.9 2023-2024г'!D56-C18</f>
        <v>1096992.1999999997</v>
      </c>
      <c r="D32" s="226">
        <f>'пр.11 2023-2024г'!H486+'пр.13 2023-2024г'!D18</f>
        <v>1044405.4999999999</v>
      </c>
    </row>
    <row r="37" spans="18:18">
      <c r="R37" s="4" t="s">
        <v>117</v>
      </c>
    </row>
  </sheetData>
  <mergeCells count="4">
    <mergeCell ref="A9:D10"/>
    <mergeCell ref="A12:A13"/>
    <mergeCell ref="B12:B13"/>
    <mergeCell ref="B7:D7"/>
  </mergeCells>
  <pageMargins left="0.70866141732283472" right="0.70866141732283472" top="0.74803149606299213" bottom="0.74803149606299213" header="0.31496062992125984" footer="0.31496062992125984"/>
  <pageSetup paperSize="9" scale="8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1:K584"/>
  <sheetViews>
    <sheetView view="pageBreakPreview" zoomScale="85" zoomScaleSheetLayoutView="85" workbookViewId="0">
      <selection activeCell="A394" sqref="A394:G396"/>
    </sheetView>
  </sheetViews>
  <sheetFormatPr defaultRowHeight="12.75"/>
  <cols>
    <col min="1" max="1" width="44.28515625" style="94" customWidth="1"/>
    <col min="2" max="2" width="17.5703125" style="167" customWidth="1"/>
    <col min="3" max="3" width="9.140625" style="167"/>
    <col min="4" max="4" width="9" style="167" customWidth="1"/>
    <col min="5" max="5" width="9.140625" style="167" customWidth="1"/>
    <col min="6" max="6" width="9.5703125" style="167" customWidth="1"/>
    <col min="7" max="7" width="16.28515625" style="388" customWidth="1"/>
    <col min="8" max="8" width="0" style="388" hidden="1" customWidth="1"/>
    <col min="9" max="9" width="15.42578125" customWidth="1"/>
    <col min="10" max="10" width="21.5703125" customWidth="1"/>
    <col min="11" max="11" width="13.42578125" customWidth="1"/>
  </cols>
  <sheetData>
    <row r="1" spans="1:8">
      <c r="D1" s="408"/>
      <c r="E1" s="4"/>
      <c r="F1" s="4"/>
      <c r="G1" s="639" t="s">
        <v>455</v>
      </c>
      <c r="H1" s="4"/>
    </row>
    <row r="2" spans="1:8">
      <c r="D2" s="408"/>
      <c r="E2" s="4"/>
      <c r="F2" s="4"/>
      <c r="G2" s="639" t="s">
        <v>199</v>
      </c>
      <c r="H2" s="4"/>
    </row>
    <row r="3" spans="1:8">
      <c r="D3" s="408"/>
      <c r="E3" s="4"/>
      <c r="F3" s="4"/>
      <c r="G3" s="639" t="s">
        <v>298</v>
      </c>
      <c r="H3" s="4"/>
    </row>
    <row r="4" spans="1:8">
      <c r="D4" s="639"/>
      <c r="E4" s="4"/>
      <c r="F4" s="4"/>
      <c r="G4" s="639" t="s">
        <v>148</v>
      </c>
      <c r="H4" s="4"/>
    </row>
    <row r="5" spans="1:8">
      <c r="D5" s="639"/>
      <c r="E5" s="4"/>
      <c r="F5" s="4"/>
      <c r="G5" s="639" t="s">
        <v>299</v>
      </c>
      <c r="H5" s="4"/>
    </row>
    <row r="6" spans="1:8">
      <c r="D6" s="639"/>
      <c r="E6" s="4"/>
      <c r="F6" s="639"/>
      <c r="G6" s="786" t="s">
        <v>1172</v>
      </c>
      <c r="H6" s="4"/>
    </row>
    <row r="7" spans="1:8">
      <c r="D7" s="641"/>
      <c r="E7" s="155" t="s">
        <v>1176</v>
      </c>
      <c r="F7" s="155"/>
      <c r="G7" s="155"/>
      <c r="H7" s="155"/>
    </row>
    <row r="8" spans="1:8" ht="32.25" customHeight="1">
      <c r="A8" s="997" t="s">
        <v>1311</v>
      </c>
      <c r="B8" s="998"/>
      <c r="C8" s="998"/>
      <c r="D8" s="998"/>
      <c r="E8" s="998"/>
      <c r="F8" s="998"/>
      <c r="G8" s="998"/>
    </row>
    <row r="9" spans="1:8">
      <c r="G9" s="389" t="s">
        <v>102</v>
      </c>
    </row>
    <row r="10" spans="1:8" s="140" customFormat="1" ht="25.5">
      <c r="A10" s="570" t="s">
        <v>204</v>
      </c>
      <c r="B10" s="570" t="s">
        <v>207</v>
      </c>
      <c r="C10" s="570" t="s">
        <v>208</v>
      </c>
      <c r="D10" s="570" t="s">
        <v>297</v>
      </c>
      <c r="E10" s="570" t="s">
        <v>205</v>
      </c>
      <c r="F10" s="570" t="s">
        <v>206</v>
      </c>
      <c r="G10" s="390" t="s">
        <v>209</v>
      </c>
      <c r="H10" s="145"/>
    </row>
    <row r="11" spans="1:8" ht="51">
      <c r="A11" s="141" t="s">
        <v>771</v>
      </c>
      <c r="B11" s="131" t="s">
        <v>517</v>
      </c>
      <c r="C11" s="131"/>
      <c r="D11" s="131"/>
      <c r="E11" s="368"/>
      <c r="F11" s="368"/>
      <c r="G11" s="143">
        <f>G13+G14</f>
        <v>360</v>
      </c>
      <c r="H11" s="143">
        <f t="shared" ref="H11" si="0">H13+H14</f>
        <v>0</v>
      </c>
    </row>
    <row r="12" spans="1:8" ht="25.5">
      <c r="A12" s="209" t="s">
        <v>877</v>
      </c>
      <c r="B12" s="521" t="s">
        <v>517</v>
      </c>
      <c r="C12" s="521"/>
      <c r="D12" s="521" t="s">
        <v>793</v>
      </c>
      <c r="E12" s="632" t="s">
        <v>221</v>
      </c>
      <c r="F12" s="632" t="s">
        <v>210</v>
      </c>
      <c r="G12" s="522">
        <f>G13+G14</f>
        <v>360</v>
      </c>
      <c r="H12" s="522">
        <f t="shared" ref="H12" si="1">H13+H14</f>
        <v>0</v>
      </c>
    </row>
    <row r="13" spans="1:8">
      <c r="A13" s="134" t="s">
        <v>263</v>
      </c>
      <c r="B13" s="133" t="s">
        <v>517</v>
      </c>
      <c r="C13" s="133" t="s">
        <v>260</v>
      </c>
      <c r="D13" s="133" t="s">
        <v>112</v>
      </c>
      <c r="E13" s="133" t="s">
        <v>212</v>
      </c>
      <c r="F13" s="133" t="s">
        <v>210</v>
      </c>
      <c r="G13" s="391">
        <f>'пр. 10 2022г'!G340</f>
        <v>160</v>
      </c>
      <c r="H13" s="391"/>
    </row>
    <row r="14" spans="1:8">
      <c r="A14" s="134" t="s">
        <v>263</v>
      </c>
      <c r="B14" s="133" t="s">
        <v>517</v>
      </c>
      <c r="C14" s="133" t="s">
        <v>260</v>
      </c>
      <c r="D14" s="133" t="s">
        <v>198</v>
      </c>
      <c r="E14" s="133" t="s">
        <v>212</v>
      </c>
      <c r="F14" s="133" t="s">
        <v>211</v>
      </c>
      <c r="G14" s="145">
        <f>'пр. 10 2022г'!G432</f>
        <v>200</v>
      </c>
      <c r="H14" s="145"/>
    </row>
    <row r="15" spans="1:8" ht="25.5">
      <c r="A15" s="141" t="s">
        <v>772</v>
      </c>
      <c r="B15" s="131" t="s">
        <v>576</v>
      </c>
      <c r="C15" s="131"/>
      <c r="D15" s="131"/>
      <c r="E15" s="131"/>
      <c r="F15" s="131"/>
      <c r="G15" s="143">
        <f>G16+G22</f>
        <v>3019.7171699999999</v>
      </c>
      <c r="H15" s="143">
        <f>H16+H22</f>
        <v>0</v>
      </c>
    </row>
    <row r="16" spans="1:8" ht="51">
      <c r="A16" s="253" t="s">
        <v>773</v>
      </c>
      <c r="B16" s="331" t="s">
        <v>852</v>
      </c>
      <c r="C16" s="254"/>
      <c r="D16" s="331">
        <v>934</v>
      </c>
      <c r="E16" s="331" t="s">
        <v>215</v>
      </c>
      <c r="F16" s="331" t="s">
        <v>219</v>
      </c>
      <c r="G16" s="392">
        <f>G17</f>
        <v>2717.6763499999997</v>
      </c>
      <c r="H16" s="392">
        <f t="shared" ref="H16" si="2">H18+H20</f>
        <v>0</v>
      </c>
    </row>
    <row r="17" spans="1:11" ht="25.5">
      <c r="A17" s="658" t="s">
        <v>851</v>
      </c>
      <c r="B17" s="128" t="s">
        <v>852</v>
      </c>
      <c r="C17" s="521"/>
      <c r="D17" s="632">
        <v>934</v>
      </c>
      <c r="E17" s="632" t="s">
        <v>215</v>
      </c>
      <c r="F17" s="632" t="s">
        <v>219</v>
      </c>
      <c r="G17" s="522">
        <f>G18</f>
        <v>2717.6763499999997</v>
      </c>
      <c r="H17" s="522">
        <f t="shared" ref="H17" si="3">H18+H20</f>
        <v>0</v>
      </c>
    </row>
    <row r="18" spans="1:11" s="214" customFormat="1" ht="38.25">
      <c r="A18" s="519" t="s">
        <v>702</v>
      </c>
      <c r="B18" s="128" t="s">
        <v>572</v>
      </c>
      <c r="C18" s="521"/>
      <c r="D18" s="133">
        <v>934</v>
      </c>
      <c r="E18" s="133" t="s">
        <v>215</v>
      </c>
      <c r="F18" s="133" t="s">
        <v>219</v>
      </c>
      <c r="G18" s="522">
        <f>G19+G20</f>
        <v>2717.6763499999997</v>
      </c>
      <c r="H18" s="392"/>
    </row>
    <row r="19" spans="1:11">
      <c r="A19" s="134" t="s">
        <v>334</v>
      </c>
      <c r="B19" s="128" t="s">
        <v>572</v>
      </c>
      <c r="C19" s="133" t="s">
        <v>333</v>
      </c>
      <c r="D19" s="133">
        <v>934</v>
      </c>
      <c r="E19" s="133" t="s">
        <v>215</v>
      </c>
      <c r="F19" s="133" t="s">
        <v>219</v>
      </c>
      <c r="G19" s="145">
        <f>'пр. 10 2022г'!G252</f>
        <v>2153.1</v>
      </c>
      <c r="H19" s="145"/>
    </row>
    <row r="20" spans="1:11" s="214" customFormat="1" ht="51">
      <c r="A20" s="519" t="s">
        <v>703</v>
      </c>
      <c r="B20" s="128" t="s">
        <v>572</v>
      </c>
      <c r="C20" s="133"/>
      <c r="D20" s="133">
        <v>934</v>
      </c>
      <c r="E20" s="133" t="s">
        <v>215</v>
      </c>
      <c r="F20" s="133" t="s">
        <v>219</v>
      </c>
      <c r="G20" s="145">
        <f>G21</f>
        <v>564.57635000000005</v>
      </c>
      <c r="H20" s="145"/>
    </row>
    <row r="21" spans="1:11" s="214" customFormat="1">
      <c r="A21" s="134" t="s">
        <v>334</v>
      </c>
      <c r="B21" s="128" t="s">
        <v>572</v>
      </c>
      <c r="C21" s="133" t="s">
        <v>333</v>
      </c>
      <c r="D21" s="520">
        <v>934</v>
      </c>
      <c r="E21" s="129" t="s">
        <v>215</v>
      </c>
      <c r="F21" s="129" t="s">
        <v>219</v>
      </c>
      <c r="G21" s="145">
        <f>'пр. 10 2022г'!G254</f>
        <v>564.57635000000005</v>
      </c>
      <c r="H21" s="145"/>
    </row>
    <row r="22" spans="1:11" ht="25.5">
      <c r="A22" s="253" t="s">
        <v>774</v>
      </c>
      <c r="B22" s="254" t="s">
        <v>1068</v>
      </c>
      <c r="C22" s="254"/>
      <c r="D22" s="120" t="s">
        <v>198</v>
      </c>
      <c r="E22" s="120" t="s">
        <v>212</v>
      </c>
      <c r="F22" s="120" t="s">
        <v>212</v>
      </c>
      <c r="G22" s="392">
        <f>G23</f>
        <v>302.04082</v>
      </c>
      <c r="H22" s="392"/>
    </row>
    <row r="23" spans="1:11">
      <c r="A23" s="138" t="s">
        <v>876</v>
      </c>
      <c r="B23" s="768" t="s">
        <v>519</v>
      </c>
      <c r="C23" s="120"/>
      <c r="D23" s="120" t="s">
        <v>198</v>
      </c>
      <c r="E23" s="120" t="s">
        <v>212</v>
      </c>
      <c r="F23" s="120" t="s">
        <v>212</v>
      </c>
      <c r="G23" s="346">
        <f>G24+G25+G26+G28</f>
        <v>302.04082</v>
      </c>
      <c r="H23" s="145"/>
    </row>
    <row r="24" spans="1:11" ht="38.25">
      <c r="A24" s="138" t="s">
        <v>267</v>
      </c>
      <c r="B24" s="768" t="s">
        <v>519</v>
      </c>
      <c r="C24" s="120" t="s">
        <v>401</v>
      </c>
      <c r="D24" s="120" t="s">
        <v>198</v>
      </c>
      <c r="E24" s="120" t="s">
        <v>212</v>
      </c>
      <c r="F24" s="120" t="s">
        <v>212</v>
      </c>
      <c r="G24" s="346">
        <f>'пр. 10 2022г'!G213</f>
        <v>100</v>
      </c>
      <c r="H24" s="145"/>
    </row>
    <row r="25" spans="1:11" ht="38.25">
      <c r="A25" s="138" t="s">
        <v>267</v>
      </c>
      <c r="B25" s="768" t="s">
        <v>519</v>
      </c>
      <c r="C25" s="120" t="s">
        <v>401</v>
      </c>
      <c r="D25" s="120" t="s">
        <v>112</v>
      </c>
      <c r="E25" s="120" t="s">
        <v>212</v>
      </c>
      <c r="F25" s="120" t="s">
        <v>214</v>
      </c>
      <c r="G25" s="346">
        <f>'пр. 10 2022г'!G487</f>
        <v>100</v>
      </c>
      <c r="H25" s="145"/>
    </row>
    <row r="26" spans="1:11" ht="25.5">
      <c r="A26" s="519" t="s">
        <v>1065</v>
      </c>
      <c r="B26" s="120" t="s">
        <v>1069</v>
      </c>
      <c r="C26" s="120"/>
      <c r="D26" s="120" t="s">
        <v>198</v>
      </c>
      <c r="E26" s="120" t="s">
        <v>212</v>
      </c>
      <c r="F26" s="120" t="s">
        <v>212</v>
      </c>
      <c r="G26" s="346">
        <f>G27</f>
        <v>100</v>
      </c>
      <c r="H26" s="145"/>
    </row>
    <row r="27" spans="1:11" ht="38.25">
      <c r="A27" s="138" t="s">
        <v>267</v>
      </c>
      <c r="B27" s="120" t="s">
        <v>1069</v>
      </c>
      <c r="C27" s="120" t="s">
        <v>401</v>
      </c>
      <c r="D27" s="120" t="s">
        <v>198</v>
      </c>
      <c r="E27" s="120" t="s">
        <v>212</v>
      </c>
      <c r="F27" s="120" t="s">
        <v>212</v>
      </c>
      <c r="G27" s="346">
        <f>'пр. 10 2022г'!G215</f>
        <v>100</v>
      </c>
      <c r="H27" s="145"/>
    </row>
    <row r="28" spans="1:11" ht="38.25">
      <c r="A28" s="138" t="s">
        <v>1070</v>
      </c>
      <c r="B28" s="120" t="s">
        <v>1069</v>
      </c>
      <c r="C28" s="120"/>
      <c r="D28" s="120" t="s">
        <v>198</v>
      </c>
      <c r="E28" s="120" t="s">
        <v>212</v>
      </c>
      <c r="F28" s="120" t="s">
        <v>212</v>
      </c>
      <c r="G28" s="346">
        <f>G29</f>
        <v>2.0408200000000001</v>
      </c>
      <c r="H28" s="145"/>
    </row>
    <row r="29" spans="1:11" ht="38.25">
      <c r="A29" s="138" t="s">
        <v>267</v>
      </c>
      <c r="B29" s="120" t="s">
        <v>1069</v>
      </c>
      <c r="C29" s="120" t="s">
        <v>401</v>
      </c>
      <c r="D29" s="120" t="s">
        <v>198</v>
      </c>
      <c r="E29" s="120" t="s">
        <v>212</v>
      </c>
      <c r="F29" s="120" t="s">
        <v>212</v>
      </c>
      <c r="G29" s="346">
        <f>'пр. 10 2022г'!G217</f>
        <v>2.0408200000000001</v>
      </c>
      <c r="H29" s="145"/>
    </row>
    <row r="30" spans="1:11" s="150" customFormat="1" ht="38.25">
      <c r="A30" s="141" t="s">
        <v>775</v>
      </c>
      <c r="B30" s="131" t="s">
        <v>537</v>
      </c>
      <c r="C30" s="131"/>
      <c r="D30" s="131">
        <v>934</v>
      </c>
      <c r="E30" s="131"/>
      <c r="F30" s="131"/>
      <c r="G30" s="143">
        <f>G31</f>
        <v>60373.688090000003</v>
      </c>
      <c r="H30" s="143" t="e">
        <f>H32+H34+H36+H37+H39+H41+H43+H47</f>
        <v>#REF!</v>
      </c>
      <c r="I30" s="215"/>
    </row>
    <row r="31" spans="1:11" s="150" customFormat="1" ht="25.5">
      <c r="A31" s="141" t="s">
        <v>912</v>
      </c>
      <c r="B31" s="131" t="s">
        <v>537</v>
      </c>
      <c r="C31" s="131"/>
      <c r="D31" s="131">
        <v>934</v>
      </c>
      <c r="E31" s="131" t="s">
        <v>911</v>
      </c>
      <c r="F31" s="131" t="s">
        <v>1113</v>
      </c>
      <c r="G31" s="143">
        <f>G32+G34+G36+G37+G39+G41+G43+G47+G45</f>
        <v>60373.688090000003</v>
      </c>
      <c r="H31" s="143" t="e">
        <f>H32+H34+H36+H37+H39+H41+H43+H47+H45+#REF!+#REF!+#REF!+#REF!+#REF!</f>
        <v>#REF!</v>
      </c>
      <c r="I31" s="215"/>
      <c r="J31" s="215"/>
    </row>
    <row r="32" spans="1:11" s="94" customFormat="1" ht="102">
      <c r="A32" s="136" t="s">
        <v>179</v>
      </c>
      <c r="B32" s="129" t="s">
        <v>663</v>
      </c>
      <c r="C32" s="129"/>
      <c r="D32" s="132" t="s">
        <v>198</v>
      </c>
      <c r="E32" s="132" t="s">
        <v>212</v>
      </c>
      <c r="F32" s="132" t="s">
        <v>213</v>
      </c>
      <c r="G32" s="144">
        <f>G33</f>
        <v>7380.8</v>
      </c>
      <c r="H32" s="144">
        <f t="shared" ref="H32" si="4">H33</f>
        <v>0</v>
      </c>
      <c r="I32" s="329"/>
      <c r="K32" s="329"/>
    </row>
    <row r="33" spans="1:11" s="94" customFormat="1">
      <c r="A33" s="134" t="s">
        <v>340</v>
      </c>
      <c r="B33" s="128" t="s">
        <v>663</v>
      </c>
      <c r="C33" s="128" t="s">
        <v>341</v>
      </c>
      <c r="D33" s="133" t="s">
        <v>198</v>
      </c>
      <c r="E33" s="133" t="s">
        <v>212</v>
      </c>
      <c r="F33" s="133" t="s">
        <v>213</v>
      </c>
      <c r="G33" s="144">
        <f>'пр. 10 2022г'!G205</f>
        <v>7380.8</v>
      </c>
      <c r="H33" s="145"/>
      <c r="I33" s="329"/>
      <c r="K33" s="329"/>
    </row>
    <row r="34" spans="1:11" s="94" customFormat="1" ht="102">
      <c r="A34" s="134" t="s">
        <v>662</v>
      </c>
      <c r="B34" s="128" t="s">
        <v>663</v>
      </c>
      <c r="C34" s="129"/>
      <c r="D34" s="132" t="s">
        <v>198</v>
      </c>
      <c r="E34" s="132" t="s">
        <v>212</v>
      </c>
      <c r="F34" s="132" t="s">
        <v>213</v>
      </c>
      <c r="G34" s="144">
        <f>G35</f>
        <v>3761.4655600000001</v>
      </c>
      <c r="H34" s="145"/>
      <c r="I34" s="329"/>
      <c r="K34" s="329"/>
    </row>
    <row r="35" spans="1:11" s="94" customFormat="1">
      <c r="A35" s="134" t="s">
        <v>340</v>
      </c>
      <c r="B35" s="128" t="s">
        <v>663</v>
      </c>
      <c r="C35" s="128" t="s">
        <v>341</v>
      </c>
      <c r="D35" s="133" t="s">
        <v>198</v>
      </c>
      <c r="E35" s="133" t="s">
        <v>212</v>
      </c>
      <c r="F35" s="133" t="s">
        <v>213</v>
      </c>
      <c r="G35" s="144">
        <f>'пр. 10 2022г'!G207</f>
        <v>3761.4655600000001</v>
      </c>
      <c r="H35" s="145"/>
      <c r="I35" s="329"/>
      <c r="K35" s="329"/>
    </row>
    <row r="36" spans="1:11" s="94" customFormat="1">
      <c r="A36" s="134" t="s">
        <v>338</v>
      </c>
      <c r="B36" s="120" t="s">
        <v>518</v>
      </c>
      <c r="C36" s="128" t="s">
        <v>409</v>
      </c>
      <c r="D36" s="133" t="s">
        <v>198</v>
      </c>
      <c r="E36" s="120" t="s">
        <v>212</v>
      </c>
      <c r="F36" s="120" t="s">
        <v>213</v>
      </c>
      <c r="G36" s="144">
        <f>'пр. 10 2022г'!G208</f>
        <v>4768.4046400000007</v>
      </c>
      <c r="H36" s="144" t="e">
        <f>#REF!</f>
        <v>#REF!</v>
      </c>
      <c r="I36" s="329"/>
      <c r="K36" s="329"/>
    </row>
    <row r="37" spans="1:11" ht="51">
      <c r="A37" s="68" t="s">
        <v>138</v>
      </c>
      <c r="B37" s="128" t="s">
        <v>522</v>
      </c>
      <c r="C37" s="129"/>
      <c r="D37" s="132" t="s">
        <v>198</v>
      </c>
      <c r="E37" s="132" t="s">
        <v>221</v>
      </c>
      <c r="F37" s="132" t="s">
        <v>210</v>
      </c>
      <c r="G37" s="393">
        <f>G38</f>
        <v>11457.71845</v>
      </c>
      <c r="H37" s="393">
        <f t="shared" ref="H37" si="5">H38</f>
        <v>0</v>
      </c>
    </row>
    <row r="38" spans="1:11" ht="51">
      <c r="A38" s="134" t="s">
        <v>262</v>
      </c>
      <c r="B38" s="128" t="s">
        <v>522</v>
      </c>
      <c r="C38" s="128" t="s">
        <v>408</v>
      </c>
      <c r="D38" s="133" t="s">
        <v>198</v>
      </c>
      <c r="E38" s="133" t="s">
        <v>221</v>
      </c>
      <c r="F38" s="133" t="s">
        <v>210</v>
      </c>
      <c r="G38" s="144">
        <f>'пр. 10 2022г'!G223</f>
        <v>11457.71845</v>
      </c>
      <c r="H38" s="145"/>
    </row>
    <row r="39" spans="1:11" ht="51">
      <c r="A39" s="68" t="s">
        <v>138</v>
      </c>
      <c r="B39" s="128" t="s">
        <v>523</v>
      </c>
      <c r="C39" s="128"/>
      <c r="D39" s="132" t="s">
        <v>198</v>
      </c>
      <c r="E39" s="132" t="s">
        <v>221</v>
      </c>
      <c r="F39" s="132" t="s">
        <v>210</v>
      </c>
      <c r="G39" s="144">
        <f>G40</f>
        <v>2362.1396599999998</v>
      </c>
      <c r="H39" s="144">
        <f t="shared" ref="H39" si="6">H40</f>
        <v>0</v>
      </c>
    </row>
    <row r="40" spans="1:11" ht="51">
      <c r="A40" s="134" t="s">
        <v>262</v>
      </c>
      <c r="B40" s="128" t="s">
        <v>523</v>
      </c>
      <c r="C40" s="128" t="s">
        <v>408</v>
      </c>
      <c r="D40" s="133" t="s">
        <v>198</v>
      </c>
      <c r="E40" s="133" t="s">
        <v>221</v>
      </c>
      <c r="F40" s="133" t="s">
        <v>210</v>
      </c>
      <c r="G40" s="144">
        <f>'пр. 10 2022г'!G225</f>
        <v>2362.1396599999998</v>
      </c>
      <c r="H40" s="145"/>
    </row>
    <row r="41" spans="1:11" ht="25.5">
      <c r="A41" s="134" t="s">
        <v>139</v>
      </c>
      <c r="B41" s="120" t="s">
        <v>721</v>
      </c>
      <c r="C41" s="128"/>
      <c r="D41" s="133" t="s">
        <v>198</v>
      </c>
      <c r="E41" s="133" t="s">
        <v>221</v>
      </c>
      <c r="F41" s="133" t="s">
        <v>210</v>
      </c>
      <c r="G41" s="144">
        <f>G42</f>
        <v>21294</v>
      </c>
      <c r="H41" s="144">
        <f t="shared" ref="H41" si="7">H42</f>
        <v>0</v>
      </c>
    </row>
    <row r="42" spans="1:11">
      <c r="A42" s="134" t="s">
        <v>263</v>
      </c>
      <c r="B42" s="120" t="s">
        <v>721</v>
      </c>
      <c r="C42" s="128" t="s">
        <v>260</v>
      </c>
      <c r="D42" s="133" t="s">
        <v>198</v>
      </c>
      <c r="E42" s="133" t="s">
        <v>221</v>
      </c>
      <c r="F42" s="133" t="s">
        <v>210</v>
      </c>
      <c r="G42" s="144">
        <f>'пр. 10 2022г'!G227</f>
        <v>21294</v>
      </c>
      <c r="H42" s="145"/>
    </row>
    <row r="43" spans="1:11" ht="38.25">
      <c r="A43" s="134" t="s">
        <v>661</v>
      </c>
      <c r="B43" s="120" t="s">
        <v>721</v>
      </c>
      <c r="C43" s="128"/>
      <c r="D43" s="133" t="s">
        <v>198</v>
      </c>
      <c r="E43" s="133" t="s">
        <v>221</v>
      </c>
      <c r="F43" s="133" t="s">
        <v>210</v>
      </c>
      <c r="G43" s="144">
        <f>G44</f>
        <v>8762.15978</v>
      </c>
      <c r="H43" s="145"/>
    </row>
    <row r="44" spans="1:11">
      <c r="A44" s="134" t="s">
        <v>263</v>
      </c>
      <c r="B44" s="120" t="s">
        <v>721</v>
      </c>
      <c r="C44" s="128" t="s">
        <v>260</v>
      </c>
      <c r="D44" s="133" t="s">
        <v>198</v>
      </c>
      <c r="E44" s="133" t="s">
        <v>221</v>
      </c>
      <c r="F44" s="133" t="s">
        <v>210</v>
      </c>
      <c r="G44" s="144">
        <f>'пр. 10 2022г'!G229</f>
        <v>8762.15978</v>
      </c>
      <c r="H44" s="145"/>
    </row>
    <row r="45" spans="1:11" ht="25.5" hidden="1">
      <c r="A45" s="134" t="s">
        <v>1016</v>
      </c>
      <c r="B45" s="120" t="s">
        <v>1112</v>
      </c>
      <c r="C45" s="128"/>
      <c r="D45" s="133" t="s">
        <v>198</v>
      </c>
      <c r="E45" s="133" t="s">
        <v>221</v>
      </c>
      <c r="F45" s="133" t="s">
        <v>219</v>
      </c>
      <c r="G45" s="144">
        <f>G46</f>
        <v>0</v>
      </c>
      <c r="H45" s="145"/>
    </row>
    <row r="46" spans="1:11" hidden="1">
      <c r="A46" s="134" t="s">
        <v>263</v>
      </c>
      <c r="B46" s="120" t="s">
        <v>1112</v>
      </c>
      <c r="C46" s="128" t="s">
        <v>260</v>
      </c>
      <c r="D46" s="133" t="s">
        <v>198</v>
      </c>
      <c r="E46" s="133" t="s">
        <v>221</v>
      </c>
      <c r="F46" s="133" t="s">
        <v>219</v>
      </c>
      <c r="G46" s="144"/>
      <c r="H46" s="145"/>
    </row>
    <row r="47" spans="1:11" ht="229.5">
      <c r="A47" s="45" t="s">
        <v>715</v>
      </c>
      <c r="B47" s="120" t="s">
        <v>418</v>
      </c>
      <c r="C47" s="128"/>
      <c r="D47" s="133" t="s">
        <v>198</v>
      </c>
      <c r="E47" s="133"/>
      <c r="F47" s="133"/>
      <c r="G47" s="144">
        <f>G48+G49</f>
        <v>587</v>
      </c>
      <c r="H47" s="144">
        <f t="shared" ref="H47" si="8">H48+H49</f>
        <v>0</v>
      </c>
    </row>
    <row r="48" spans="1:11">
      <c r="A48" s="134" t="s">
        <v>263</v>
      </c>
      <c r="B48" s="120" t="s">
        <v>418</v>
      </c>
      <c r="C48" s="128" t="s">
        <v>260</v>
      </c>
      <c r="D48" s="133" t="s">
        <v>198</v>
      </c>
      <c r="E48" s="133" t="s">
        <v>215</v>
      </c>
      <c r="F48" s="133" t="s">
        <v>213</v>
      </c>
      <c r="G48" s="144">
        <f>'пр. 10 2022г'!G239</f>
        <v>384</v>
      </c>
      <c r="H48" s="145"/>
    </row>
    <row r="49" spans="1:8">
      <c r="A49" s="134" t="s">
        <v>340</v>
      </c>
      <c r="B49" s="120" t="s">
        <v>418</v>
      </c>
      <c r="C49" s="128" t="s">
        <v>341</v>
      </c>
      <c r="D49" s="133" t="s">
        <v>198</v>
      </c>
      <c r="E49" s="133" t="s">
        <v>215</v>
      </c>
      <c r="F49" s="133" t="s">
        <v>213</v>
      </c>
      <c r="G49" s="144">
        <f>'пр. 10 2022г'!G240</f>
        <v>203</v>
      </c>
      <c r="H49" s="145"/>
    </row>
    <row r="50" spans="1:8" ht="38.25">
      <c r="A50" s="141" t="s">
        <v>1234</v>
      </c>
      <c r="B50" s="131" t="s">
        <v>850</v>
      </c>
      <c r="C50" s="131"/>
      <c r="D50" s="131" t="s">
        <v>198</v>
      </c>
      <c r="E50" s="130"/>
      <c r="F50" s="130"/>
      <c r="G50" s="143">
        <f>G52</f>
        <v>500</v>
      </c>
      <c r="H50" s="166"/>
    </row>
    <row r="51" spans="1:8" ht="13.5">
      <c r="A51" s="141" t="s">
        <v>872</v>
      </c>
      <c r="B51" s="618" t="s">
        <v>850</v>
      </c>
      <c r="C51" s="131"/>
      <c r="D51" s="131" t="s">
        <v>198</v>
      </c>
      <c r="E51" s="130"/>
      <c r="F51" s="130"/>
      <c r="G51" s="143">
        <f>G52</f>
        <v>500</v>
      </c>
      <c r="H51" s="166"/>
    </row>
    <row r="52" spans="1:8" s="214" customFormat="1" ht="38.25">
      <c r="A52" s="138" t="s">
        <v>267</v>
      </c>
      <c r="B52" s="632" t="s">
        <v>516</v>
      </c>
      <c r="C52" s="128" t="s">
        <v>401</v>
      </c>
      <c r="D52" s="133" t="s">
        <v>198</v>
      </c>
      <c r="E52" s="132" t="s">
        <v>219</v>
      </c>
      <c r="F52" s="132" t="s">
        <v>217</v>
      </c>
      <c r="G52" s="522">
        <f>'пр. 10 2022г'!G170</f>
        <v>500</v>
      </c>
      <c r="H52" s="391"/>
    </row>
    <row r="53" spans="1:8" ht="56.25" customHeight="1">
      <c r="A53" s="141" t="s">
        <v>776</v>
      </c>
      <c r="B53" s="130" t="s">
        <v>527</v>
      </c>
      <c r="C53" s="131"/>
      <c r="D53" s="131" t="s">
        <v>198</v>
      </c>
      <c r="E53" s="130"/>
      <c r="F53" s="130"/>
      <c r="G53" s="143">
        <f>G54+G58+G63</f>
        <v>3744.23486</v>
      </c>
      <c r="H53" s="143" t="e">
        <f>#REF!+H58+#REF!+H63</f>
        <v>#REF!</v>
      </c>
    </row>
    <row r="54" spans="1:8" ht="29.25" customHeight="1">
      <c r="A54" s="253" t="s">
        <v>1235</v>
      </c>
      <c r="B54" s="331" t="s">
        <v>504</v>
      </c>
      <c r="C54" s="131"/>
      <c r="D54" s="131"/>
      <c r="E54" s="130"/>
      <c r="F54" s="130"/>
      <c r="G54" s="143">
        <f>G55</f>
        <v>1324.23486</v>
      </c>
      <c r="H54" s="143"/>
    </row>
    <row r="55" spans="1:8" ht="51" customHeight="1">
      <c r="A55" s="141" t="s">
        <v>1247</v>
      </c>
      <c r="B55" s="120" t="s">
        <v>504</v>
      </c>
      <c r="C55" s="131"/>
      <c r="D55" s="131"/>
      <c r="E55" s="130"/>
      <c r="F55" s="130"/>
      <c r="G55" s="143">
        <f>G56+G57</f>
        <v>1324.23486</v>
      </c>
      <c r="H55" s="143"/>
    </row>
    <row r="56" spans="1:8" ht="38.25">
      <c r="A56" s="138" t="s">
        <v>267</v>
      </c>
      <c r="B56" s="120" t="s">
        <v>504</v>
      </c>
      <c r="C56" s="120" t="s">
        <v>401</v>
      </c>
      <c r="D56" s="120" t="s">
        <v>198</v>
      </c>
      <c r="E56" s="142" t="s">
        <v>210</v>
      </c>
      <c r="F56" s="142" t="s">
        <v>219</v>
      </c>
      <c r="G56" s="346">
        <f>'пр. 10 2022г'!G83</f>
        <v>714.9</v>
      </c>
      <c r="H56" s="346"/>
    </row>
    <row r="57" spans="1:8" ht="21.75" customHeight="1">
      <c r="A57" s="134" t="s">
        <v>338</v>
      </c>
      <c r="B57" s="120" t="s">
        <v>504</v>
      </c>
      <c r="C57" s="120" t="s">
        <v>409</v>
      </c>
      <c r="D57" s="120" t="s">
        <v>198</v>
      </c>
      <c r="E57" s="142" t="s">
        <v>217</v>
      </c>
      <c r="F57" s="142" t="s">
        <v>211</v>
      </c>
      <c r="G57" s="346">
        <f>'пр. 10 2022г'!G301</f>
        <v>609.33486000000005</v>
      </c>
      <c r="H57" s="346"/>
    </row>
    <row r="58" spans="1:8" ht="38.25">
      <c r="A58" s="253" t="s">
        <v>777</v>
      </c>
      <c r="B58" s="254" t="s">
        <v>498</v>
      </c>
      <c r="C58" s="254"/>
      <c r="D58" s="254"/>
      <c r="E58" s="332"/>
      <c r="F58" s="332"/>
      <c r="G58" s="392">
        <f>G60+G61</f>
        <v>1000</v>
      </c>
      <c r="H58" s="392">
        <f t="shared" ref="H58" si="9">H60</f>
        <v>0</v>
      </c>
    </row>
    <row r="59" spans="1:8" ht="25.5">
      <c r="A59" s="134" t="s">
        <v>880</v>
      </c>
      <c r="B59" s="120" t="s">
        <v>858</v>
      </c>
      <c r="C59" s="521"/>
      <c r="D59" s="521" t="s">
        <v>198</v>
      </c>
      <c r="E59" s="521" t="s">
        <v>223</v>
      </c>
      <c r="F59" s="521" t="s">
        <v>213</v>
      </c>
      <c r="G59" s="522">
        <f>G60</f>
        <v>1000</v>
      </c>
      <c r="H59" s="522"/>
    </row>
    <row r="60" spans="1:8" ht="13.5">
      <c r="A60" s="134" t="s">
        <v>399</v>
      </c>
      <c r="B60" s="120" t="s">
        <v>859</v>
      </c>
      <c r="C60" s="133" t="s">
        <v>410</v>
      </c>
      <c r="D60" s="133" t="s">
        <v>198</v>
      </c>
      <c r="E60" s="132" t="s">
        <v>223</v>
      </c>
      <c r="F60" s="569" t="s">
        <v>213</v>
      </c>
      <c r="G60" s="391">
        <f>'пр. 10 2022г'!G307</f>
        <v>1000</v>
      </c>
      <c r="H60" s="522"/>
    </row>
    <row r="61" spans="1:8" ht="38.25">
      <c r="A61" s="134" t="s">
        <v>732</v>
      </c>
      <c r="B61" s="120" t="s">
        <v>1051</v>
      </c>
      <c r="C61" s="521"/>
      <c r="D61" s="521" t="s">
        <v>198</v>
      </c>
      <c r="E61" s="521" t="s">
        <v>223</v>
      </c>
      <c r="F61" s="521" t="s">
        <v>213</v>
      </c>
      <c r="G61" s="391">
        <f>G62</f>
        <v>0</v>
      </c>
      <c r="H61" s="522"/>
    </row>
    <row r="62" spans="1:8" ht="13.5">
      <c r="A62" s="134" t="s">
        <v>399</v>
      </c>
      <c r="B62" s="120" t="s">
        <v>1051</v>
      </c>
      <c r="C62" s="133" t="s">
        <v>410</v>
      </c>
      <c r="D62" s="133" t="s">
        <v>198</v>
      </c>
      <c r="E62" s="132" t="s">
        <v>223</v>
      </c>
      <c r="F62" s="569" t="s">
        <v>213</v>
      </c>
      <c r="G62" s="391">
        <f>'пр. 10 2022г'!G309</f>
        <v>0</v>
      </c>
      <c r="H62" s="522"/>
    </row>
    <row r="63" spans="1:8" ht="38.25">
      <c r="A63" s="253" t="s">
        <v>778</v>
      </c>
      <c r="B63" s="254" t="s">
        <v>496</v>
      </c>
      <c r="C63" s="254"/>
      <c r="D63" s="254" t="s">
        <v>198</v>
      </c>
      <c r="E63" s="332"/>
      <c r="F63" s="332"/>
      <c r="G63" s="392">
        <f>G64</f>
        <v>1420</v>
      </c>
      <c r="H63" s="392" t="e">
        <f t="shared" ref="H63" si="10">H64</f>
        <v>#REF!</v>
      </c>
    </row>
    <row r="64" spans="1:8" ht="25.5">
      <c r="A64" s="209" t="s">
        <v>913</v>
      </c>
      <c r="B64" s="521" t="s">
        <v>496</v>
      </c>
      <c r="C64" s="521"/>
      <c r="D64" s="632" t="s">
        <v>198</v>
      </c>
      <c r="E64" s="646" t="s">
        <v>219</v>
      </c>
      <c r="F64" s="646" t="s">
        <v>217</v>
      </c>
      <c r="G64" s="522">
        <f>G65+G67+G69+G71</f>
        <v>1420</v>
      </c>
      <c r="H64" s="522" t="e">
        <f>H65+H67+H69+H71</f>
        <v>#REF!</v>
      </c>
    </row>
    <row r="65" spans="1:8" ht="38.25">
      <c r="A65" s="613" t="s">
        <v>670</v>
      </c>
      <c r="B65" s="133" t="s">
        <v>497</v>
      </c>
      <c r="C65" s="133"/>
      <c r="D65" s="133" t="s">
        <v>198</v>
      </c>
      <c r="E65" s="132" t="s">
        <v>219</v>
      </c>
      <c r="F65" s="132" t="s">
        <v>217</v>
      </c>
      <c r="G65" s="145">
        <f>G66</f>
        <v>170</v>
      </c>
      <c r="H65" s="145" t="e">
        <f>H66</f>
        <v>#REF!</v>
      </c>
    </row>
    <row r="66" spans="1:8" ht="38.25">
      <c r="A66" s="138" t="s">
        <v>267</v>
      </c>
      <c r="B66" s="133" t="s">
        <v>497</v>
      </c>
      <c r="C66" s="133" t="s">
        <v>401</v>
      </c>
      <c r="D66" s="133" t="s">
        <v>198</v>
      </c>
      <c r="E66" s="132" t="s">
        <v>219</v>
      </c>
      <c r="F66" s="132" t="s">
        <v>217</v>
      </c>
      <c r="G66" s="145">
        <f>'пр. 10 2022г'!G177</f>
        <v>170</v>
      </c>
      <c r="H66" s="145" t="e">
        <f>#REF!</f>
        <v>#REF!</v>
      </c>
    </row>
    <row r="67" spans="1:8" ht="51">
      <c r="A67" s="608" t="s">
        <v>671</v>
      </c>
      <c r="B67" s="133" t="s">
        <v>497</v>
      </c>
      <c r="C67" s="133"/>
      <c r="D67" s="133" t="s">
        <v>198</v>
      </c>
      <c r="E67" s="132" t="s">
        <v>219</v>
      </c>
      <c r="F67" s="132" t="s">
        <v>217</v>
      </c>
      <c r="G67" s="145">
        <f>G68</f>
        <v>450</v>
      </c>
      <c r="H67" s="145" t="e">
        <f>H68</f>
        <v>#REF!</v>
      </c>
    </row>
    <row r="68" spans="1:8" ht="38.25">
      <c r="A68" s="138" t="s">
        <v>267</v>
      </c>
      <c r="B68" s="133" t="s">
        <v>497</v>
      </c>
      <c r="C68" s="133" t="s">
        <v>401</v>
      </c>
      <c r="D68" s="133" t="s">
        <v>198</v>
      </c>
      <c r="E68" s="132" t="s">
        <v>219</v>
      </c>
      <c r="F68" s="132" t="s">
        <v>217</v>
      </c>
      <c r="G68" s="145">
        <f>'пр. 10 2022г'!G175</f>
        <v>450</v>
      </c>
      <c r="H68" s="145" t="e">
        <f>#REF!</f>
        <v>#REF!</v>
      </c>
    </row>
    <row r="69" spans="1:8" ht="51">
      <c r="A69" s="138" t="s">
        <v>1007</v>
      </c>
      <c r="B69" s="120" t="s">
        <v>1009</v>
      </c>
      <c r="C69" s="133"/>
      <c r="D69" s="133" t="s">
        <v>198</v>
      </c>
      <c r="E69" s="132" t="s">
        <v>219</v>
      </c>
      <c r="F69" s="132" t="s">
        <v>217</v>
      </c>
      <c r="G69" s="145">
        <f>G70</f>
        <v>400</v>
      </c>
      <c r="H69" s="145"/>
    </row>
    <row r="70" spans="1:8" ht="38.25">
      <c r="A70" s="138" t="s">
        <v>267</v>
      </c>
      <c r="B70" s="120" t="s">
        <v>1009</v>
      </c>
      <c r="C70" s="133" t="s">
        <v>401</v>
      </c>
      <c r="D70" s="133" t="s">
        <v>198</v>
      </c>
      <c r="E70" s="132" t="s">
        <v>219</v>
      </c>
      <c r="F70" s="132" t="s">
        <v>217</v>
      </c>
      <c r="G70" s="145">
        <f>'пр. 10 2022г'!G179</f>
        <v>400</v>
      </c>
      <c r="H70" s="145"/>
    </row>
    <row r="71" spans="1:8" ht="63.75">
      <c r="A71" s="138" t="s">
        <v>1008</v>
      </c>
      <c r="B71" s="120" t="s">
        <v>1009</v>
      </c>
      <c r="C71" s="133"/>
      <c r="D71" s="133" t="s">
        <v>198</v>
      </c>
      <c r="E71" s="132" t="s">
        <v>219</v>
      </c>
      <c r="F71" s="132" t="s">
        <v>217</v>
      </c>
      <c r="G71" s="145">
        <f>G72</f>
        <v>400</v>
      </c>
      <c r="H71" s="145"/>
    </row>
    <row r="72" spans="1:8" ht="38.25">
      <c r="A72" s="138" t="s">
        <v>267</v>
      </c>
      <c r="B72" s="120" t="s">
        <v>1009</v>
      </c>
      <c r="C72" s="133" t="s">
        <v>401</v>
      </c>
      <c r="D72" s="133" t="s">
        <v>198</v>
      </c>
      <c r="E72" s="132" t="s">
        <v>219</v>
      </c>
      <c r="F72" s="132" t="s">
        <v>217</v>
      </c>
      <c r="G72" s="145">
        <f>'пр. 10 2022г'!G181</f>
        <v>400</v>
      </c>
      <c r="H72" s="145"/>
    </row>
    <row r="73" spans="1:8" ht="53.25" customHeight="1">
      <c r="A73" s="853" t="s">
        <v>1236</v>
      </c>
      <c r="B73" s="229" t="s">
        <v>1240</v>
      </c>
      <c r="C73" s="229"/>
      <c r="D73" s="229"/>
      <c r="E73" s="557"/>
      <c r="F73" s="557"/>
      <c r="G73" s="353">
        <f>G74+G150</f>
        <v>56685.802540000004</v>
      </c>
      <c r="H73" s="145"/>
    </row>
    <row r="74" spans="1:8" ht="25.5">
      <c r="A74" s="253" t="s">
        <v>1248</v>
      </c>
      <c r="B74" s="254" t="s">
        <v>1241</v>
      </c>
      <c r="C74" s="254"/>
      <c r="D74" s="254" t="s">
        <v>198</v>
      </c>
      <c r="E74" s="332"/>
      <c r="F74" s="332"/>
      <c r="G74" s="392">
        <f>G75+G100+G131</f>
        <v>27560.116240000003</v>
      </c>
      <c r="H74" s="145"/>
    </row>
    <row r="75" spans="1:8" ht="53.25" customHeight="1">
      <c r="A75" s="253" t="s">
        <v>1237</v>
      </c>
      <c r="B75" s="254" t="s">
        <v>1242</v>
      </c>
      <c r="C75" s="254"/>
      <c r="D75" s="254" t="s">
        <v>198</v>
      </c>
      <c r="E75" s="332"/>
      <c r="F75" s="332"/>
      <c r="G75" s="392">
        <f>G76+G80+G86+G92+G94+G96+G89</f>
        <v>19764.095110000002</v>
      </c>
      <c r="H75" s="145"/>
    </row>
    <row r="76" spans="1:8">
      <c r="A76" s="839" t="s">
        <v>1207</v>
      </c>
      <c r="B76" s="120" t="s">
        <v>1243</v>
      </c>
      <c r="C76" s="331"/>
      <c r="D76" s="254" t="s">
        <v>198</v>
      </c>
      <c r="E76" s="837" t="s">
        <v>210</v>
      </c>
      <c r="F76" s="837" t="s">
        <v>211</v>
      </c>
      <c r="G76" s="838">
        <f>G77+G78+G79</f>
        <v>1709.66661</v>
      </c>
      <c r="H76" s="145"/>
    </row>
    <row r="77" spans="1:8" ht="38.25">
      <c r="A77" s="134" t="s">
        <v>155</v>
      </c>
      <c r="B77" s="120" t="s">
        <v>1243</v>
      </c>
      <c r="C77" s="331" t="s">
        <v>400</v>
      </c>
      <c r="D77" s="254" t="s">
        <v>198</v>
      </c>
      <c r="E77" s="837" t="s">
        <v>210</v>
      </c>
      <c r="F77" s="837" t="s">
        <v>211</v>
      </c>
      <c r="G77" s="838">
        <f>'пр. 10 2022г'!G76</f>
        <v>1305.4275</v>
      </c>
      <c r="H77" s="145"/>
    </row>
    <row r="78" spans="1:8" ht="38.25">
      <c r="A78" s="134" t="s">
        <v>10</v>
      </c>
      <c r="B78" s="120" t="s">
        <v>1243</v>
      </c>
      <c r="C78" s="331" t="s">
        <v>405</v>
      </c>
      <c r="D78" s="254" t="s">
        <v>198</v>
      </c>
      <c r="E78" s="837" t="s">
        <v>210</v>
      </c>
      <c r="F78" s="837" t="s">
        <v>211</v>
      </c>
      <c r="G78" s="838">
        <f>'пр. 10 2022г'!G77</f>
        <v>10</v>
      </c>
      <c r="H78" s="145"/>
    </row>
    <row r="79" spans="1:8" ht="51">
      <c r="A79" s="571" t="s">
        <v>416</v>
      </c>
      <c r="B79" s="120" t="s">
        <v>1243</v>
      </c>
      <c r="C79" s="331" t="s">
        <v>417</v>
      </c>
      <c r="D79" s="254" t="s">
        <v>198</v>
      </c>
      <c r="E79" s="837" t="s">
        <v>210</v>
      </c>
      <c r="F79" s="837" t="s">
        <v>211</v>
      </c>
      <c r="G79" s="838">
        <f>'пр. 10 2022г'!G78</f>
        <v>394.23910999999998</v>
      </c>
      <c r="H79" s="145"/>
    </row>
    <row r="80" spans="1:8">
      <c r="A80" s="253" t="s">
        <v>1207</v>
      </c>
      <c r="B80" s="120" t="s">
        <v>1267</v>
      </c>
      <c r="C80" s="331"/>
      <c r="D80" s="254" t="s">
        <v>198</v>
      </c>
      <c r="E80" s="837" t="s">
        <v>210</v>
      </c>
      <c r="F80" s="837" t="s">
        <v>219</v>
      </c>
      <c r="G80" s="838">
        <f>G81+G82+G83+G84+G85</f>
        <v>8440.2938200000008</v>
      </c>
      <c r="H80" s="145"/>
    </row>
    <row r="81" spans="1:8" ht="38.25">
      <c r="A81" s="134" t="s">
        <v>155</v>
      </c>
      <c r="B81" s="120" t="s">
        <v>1267</v>
      </c>
      <c r="C81" s="331" t="s">
        <v>400</v>
      </c>
      <c r="D81" s="254" t="s">
        <v>198</v>
      </c>
      <c r="E81" s="837" t="s">
        <v>210</v>
      </c>
      <c r="F81" s="837" t="s">
        <v>219</v>
      </c>
      <c r="G81" s="838">
        <f>'пр. 10 2022г'!G88</f>
        <v>5945.6941800000004</v>
      </c>
      <c r="H81" s="145"/>
    </row>
    <row r="82" spans="1:8" ht="38.25">
      <c r="A82" s="134" t="s">
        <v>10</v>
      </c>
      <c r="B82" s="120" t="s">
        <v>1267</v>
      </c>
      <c r="C82" s="331" t="s">
        <v>405</v>
      </c>
      <c r="D82" s="254" t="s">
        <v>198</v>
      </c>
      <c r="E82" s="837" t="s">
        <v>210</v>
      </c>
      <c r="F82" s="837" t="s">
        <v>219</v>
      </c>
      <c r="G82" s="838">
        <f>'пр. 10 2022г'!G89</f>
        <v>20</v>
      </c>
      <c r="H82" s="145"/>
    </row>
    <row r="83" spans="1:8" ht="51">
      <c r="A83" s="571" t="s">
        <v>416</v>
      </c>
      <c r="B83" s="120" t="s">
        <v>1267</v>
      </c>
      <c r="C83" s="331" t="s">
        <v>417</v>
      </c>
      <c r="D83" s="254" t="s">
        <v>198</v>
      </c>
      <c r="E83" s="837" t="s">
        <v>210</v>
      </c>
      <c r="F83" s="837" t="s">
        <v>219</v>
      </c>
      <c r="G83" s="838">
        <f>'пр. 10 2022г'!G90</f>
        <v>1795.5996399999999</v>
      </c>
      <c r="H83" s="145"/>
    </row>
    <row r="84" spans="1:8" ht="25.5" hidden="1">
      <c r="A84" s="218" t="s">
        <v>406</v>
      </c>
      <c r="B84" s="120" t="s">
        <v>1267</v>
      </c>
      <c r="C84" s="120" t="s">
        <v>407</v>
      </c>
      <c r="D84" s="254" t="s">
        <v>198</v>
      </c>
      <c r="E84" s="837" t="s">
        <v>210</v>
      </c>
      <c r="F84" s="837" t="s">
        <v>219</v>
      </c>
      <c r="G84" s="838">
        <f>'пр. 10 2022г'!G91</f>
        <v>0</v>
      </c>
      <c r="H84" s="145"/>
    </row>
    <row r="85" spans="1:8" ht="38.25">
      <c r="A85" s="138" t="s">
        <v>267</v>
      </c>
      <c r="B85" s="120" t="s">
        <v>1267</v>
      </c>
      <c r="C85" s="120" t="s">
        <v>401</v>
      </c>
      <c r="D85" s="254" t="s">
        <v>198</v>
      </c>
      <c r="E85" s="837" t="s">
        <v>210</v>
      </c>
      <c r="F85" s="837" t="s">
        <v>219</v>
      </c>
      <c r="G85" s="838">
        <f>'пр. 10 2022г'!G92</f>
        <v>679</v>
      </c>
      <c r="H85" s="145"/>
    </row>
    <row r="86" spans="1:8">
      <c r="A86" s="134" t="s">
        <v>1207</v>
      </c>
      <c r="B86" s="120" t="s">
        <v>1243</v>
      </c>
      <c r="C86" s="120"/>
      <c r="D86" s="331" t="s">
        <v>195</v>
      </c>
      <c r="E86" s="331" t="s">
        <v>210</v>
      </c>
      <c r="F86" s="331" t="s">
        <v>216</v>
      </c>
      <c r="G86" s="838">
        <f>G87+G88</f>
        <v>3390.82683</v>
      </c>
      <c r="H86" s="145"/>
    </row>
    <row r="87" spans="1:8" ht="25.5">
      <c r="A87" s="134" t="s">
        <v>415</v>
      </c>
      <c r="B87" s="120" t="s">
        <v>1243</v>
      </c>
      <c r="C87" s="120" t="s">
        <v>400</v>
      </c>
      <c r="D87" s="331" t="s">
        <v>195</v>
      </c>
      <c r="E87" s="331" t="s">
        <v>210</v>
      </c>
      <c r="F87" s="331" t="s">
        <v>216</v>
      </c>
      <c r="G87" s="838">
        <f>'пр. 10 2022г'!G46</f>
        <v>2604.32168</v>
      </c>
      <c r="H87" s="145"/>
    </row>
    <row r="88" spans="1:8" ht="51">
      <c r="A88" s="571" t="s">
        <v>416</v>
      </c>
      <c r="B88" s="120" t="s">
        <v>1243</v>
      </c>
      <c r="C88" s="120" t="s">
        <v>417</v>
      </c>
      <c r="D88" s="331" t="s">
        <v>195</v>
      </c>
      <c r="E88" s="331" t="s">
        <v>210</v>
      </c>
      <c r="F88" s="331" t="s">
        <v>216</v>
      </c>
      <c r="G88" s="838">
        <f>'пр. 10 2022г'!G47</f>
        <v>786.50514999999996</v>
      </c>
      <c r="H88" s="145"/>
    </row>
    <row r="89" spans="1:8" ht="25.5">
      <c r="A89" s="134" t="s">
        <v>194</v>
      </c>
      <c r="B89" s="120" t="s">
        <v>1246</v>
      </c>
      <c r="C89" s="120"/>
      <c r="D89" s="331" t="s">
        <v>195</v>
      </c>
      <c r="E89" s="331" t="s">
        <v>210</v>
      </c>
      <c r="F89" s="331" t="s">
        <v>216</v>
      </c>
      <c r="G89" s="838">
        <f>G90+G91</f>
        <v>4754.6000000000004</v>
      </c>
      <c r="H89" s="145"/>
    </row>
    <row r="90" spans="1:8" ht="25.5">
      <c r="A90" s="134" t="s">
        <v>415</v>
      </c>
      <c r="B90" s="120" t="s">
        <v>1246</v>
      </c>
      <c r="C90" s="120" t="s">
        <v>400</v>
      </c>
      <c r="D90" s="331" t="s">
        <v>195</v>
      </c>
      <c r="E90" s="331" t="s">
        <v>210</v>
      </c>
      <c r="F90" s="331" t="s">
        <v>216</v>
      </c>
      <c r="G90" s="838">
        <f>'пр. 10 2022г'!G49</f>
        <v>3651.7665099999999</v>
      </c>
      <c r="H90" s="145"/>
    </row>
    <row r="91" spans="1:8" ht="51">
      <c r="A91" s="571" t="s">
        <v>416</v>
      </c>
      <c r="B91" s="120" t="s">
        <v>1246</v>
      </c>
      <c r="C91" s="120" t="s">
        <v>417</v>
      </c>
      <c r="D91" s="331" t="s">
        <v>195</v>
      </c>
      <c r="E91" s="331" t="s">
        <v>210</v>
      </c>
      <c r="F91" s="331" t="s">
        <v>216</v>
      </c>
      <c r="G91" s="838">
        <f>'пр. 10 2022г'!G50</f>
        <v>1102.83349</v>
      </c>
      <c r="H91" s="145"/>
    </row>
    <row r="92" spans="1:8" ht="51">
      <c r="A92" s="572" t="s">
        <v>669</v>
      </c>
      <c r="B92" s="128" t="s">
        <v>1268</v>
      </c>
      <c r="C92" s="128"/>
      <c r="D92" s="133" t="s">
        <v>198</v>
      </c>
      <c r="E92" s="132" t="s">
        <v>210</v>
      </c>
      <c r="F92" s="132" t="s">
        <v>236</v>
      </c>
      <c r="G92" s="144">
        <f>G93</f>
        <v>166</v>
      </c>
      <c r="H92" s="145"/>
    </row>
    <row r="93" spans="1:8" ht="38.25">
      <c r="A93" s="138" t="s">
        <v>267</v>
      </c>
      <c r="B93" s="128" t="s">
        <v>1268</v>
      </c>
      <c r="C93" s="133" t="s">
        <v>401</v>
      </c>
      <c r="D93" s="133" t="s">
        <v>198</v>
      </c>
      <c r="E93" s="132" t="s">
        <v>210</v>
      </c>
      <c r="F93" s="132" t="s">
        <v>236</v>
      </c>
      <c r="G93" s="145">
        <f>'пр. 10 2022г'!G115</f>
        <v>166</v>
      </c>
      <c r="H93" s="145"/>
    </row>
    <row r="94" spans="1:8" ht="38.25">
      <c r="A94" s="572" t="s">
        <v>535</v>
      </c>
      <c r="B94" s="128" t="s">
        <v>1268</v>
      </c>
      <c r="C94" s="128"/>
      <c r="D94" s="133" t="s">
        <v>198</v>
      </c>
      <c r="E94" s="132" t="s">
        <v>210</v>
      </c>
      <c r="F94" s="132" t="s">
        <v>236</v>
      </c>
      <c r="G94" s="145">
        <f>G95</f>
        <v>166</v>
      </c>
      <c r="H94" s="145"/>
    </row>
    <row r="95" spans="1:8" ht="38.25">
      <c r="A95" s="138" t="s">
        <v>267</v>
      </c>
      <c r="B95" s="128" t="s">
        <v>1268</v>
      </c>
      <c r="C95" s="133" t="s">
        <v>401</v>
      </c>
      <c r="D95" s="133" t="s">
        <v>198</v>
      </c>
      <c r="E95" s="132" t="s">
        <v>210</v>
      </c>
      <c r="F95" s="132" t="s">
        <v>236</v>
      </c>
      <c r="G95" s="145">
        <f>'пр. 10 2022г'!G113</f>
        <v>166</v>
      </c>
      <c r="H95" s="145"/>
    </row>
    <row r="96" spans="1:8">
      <c r="A96" s="253" t="s">
        <v>1207</v>
      </c>
      <c r="B96" s="120" t="s">
        <v>1243</v>
      </c>
      <c r="C96" s="331"/>
      <c r="D96" s="254" t="s">
        <v>612</v>
      </c>
      <c r="E96" s="837" t="s">
        <v>220</v>
      </c>
      <c r="F96" s="837" t="s">
        <v>220</v>
      </c>
      <c r="G96" s="838">
        <f>G97+G98+G99</f>
        <v>1136.70785</v>
      </c>
      <c r="H96" s="145"/>
    </row>
    <row r="97" spans="1:8" ht="38.25">
      <c r="A97" s="134" t="s">
        <v>155</v>
      </c>
      <c r="B97" s="120" t="s">
        <v>1243</v>
      </c>
      <c r="C97" s="120" t="s">
        <v>400</v>
      </c>
      <c r="D97" s="254" t="s">
        <v>612</v>
      </c>
      <c r="E97" s="837" t="s">
        <v>220</v>
      </c>
      <c r="F97" s="837" t="s">
        <v>220</v>
      </c>
      <c r="G97" s="838">
        <f>'пр. 10 2022г'!G577</f>
        <v>873.04750000000001</v>
      </c>
      <c r="H97" s="145"/>
    </row>
    <row r="98" spans="1:8" ht="38.25" hidden="1">
      <c r="A98" s="134" t="s">
        <v>10</v>
      </c>
      <c r="B98" s="120" t="s">
        <v>1243</v>
      </c>
      <c r="C98" s="120" t="s">
        <v>405</v>
      </c>
      <c r="D98" s="254" t="s">
        <v>612</v>
      </c>
      <c r="E98" s="837" t="s">
        <v>220</v>
      </c>
      <c r="F98" s="837" t="s">
        <v>220</v>
      </c>
      <c r="G98" s="838">
        <f>'пр. 10 2022г'!G578</f>
        <v>0</v>
      </c>
      <c r="H98" s="145"/>
    </row>
    <row r="99" spans="1:8" ht="51">
      <c r="A99" s="571" t="s">
        <v>416</v>
      </c>
      <c r="B99" s="120" t="s">
        <v>1243</v>
      </c>
      <c r="C99" s="120" t="s">
        <v>417</v>
      </c>
      <c r="D99" s="254" t="s">
        <v>612</v>
      </c>
      <c r="E99" s="837" t="s">
        <v>220</v>
      </c>
      <c r="F99" s="837" t="s">
        <v>220</v>
      </c>
      <c r="G99" s="838">
        <f>'пр. 10 2022г'!G579</f>
        <v>263.66034999999999</v>
      </c>
      <c r="H99" s="145"/>
    </row>
    <row r="100" spans="1:8" ht="43.5" customHeight="1">
      <c r="A100" s="745" t="s">
        <v>1245</v>
      </c>
      <c r="B100" s="854" t="s">
        <v>1244</v>
      </c>
      <c r="C100" s="854"/>
      <c r="D100" s="254"/>
      <c r="E100" s="332"/>
      <c r="F100" s="332"/>
      <c r="G100" s="392">
        <f>G101+G103+G107+G112+G116+G119+G123+G128</f>
        <v>4360.8</v>
      </c>
      <c r="H100" s="145"/>
    </row>
    <row r="101" spans="1:8" ht="51">
      <c r="A101" s="134" t="s">
        <v>603</v>
      </c>
      <c r="B101" s="128" t="s">
        <v>1250</v>
      </c>
      <c r="C101" s="331"/>
      <c r="D101" s="254" t="s">
        <v>198</v>
      </c>
      <c r="E101" s="837" t="s">
        <v>210</v>
      </c>
      <c r="F101" s="837" t="s">
        <v>220</v>
      </c>
      <c r="G101" s="838">
        <f>G102</f>
        <v>112.2</v>
      </c>
      <c r="H101" s="145"/>
    </row>
    <row r="102" spans="1:8" ht="38.25">
      <c r="A102" s="138" t="s">
        <v>267</v>
      </c>
      <c r="B102" s="128" t="s">
        <v>1250</v>
      </c>
      <c r="C102" s="331" t="s">
        <v>401</v>
      </c>
      <c r="D102" s="254" t="s">
        <v>198</v>
      </c>
      <c r="E102" s="837" t="s">
        <v>210</v>
      </c>
      <c r="F102" s="837" t="s">
        <v>220</v>
      </c>
      <c r="G102" s="838">
        <f>'пр. 10 2022г'!G101</f>
        <v>112.2</v>
      </c>
      <c r="H102" s="145"/>
    </row>
    <row r="103" spans="1:8" ht="38.25">
      <c r="A103" s="68" t="s">
        <v>421</v>
      </c>
      <c r="B103" s="120" t="s">
        <v>1251</v>
      </c>
      <c r="C103" s="331"/>
      <c r="D103" s="254" t="s">
        <v>198</v>
      </c>
      <c r="E103" s="837" t="s">
        <v>210</v>
      </c>
      <c r="F103" s="837" t="s">
        <v>236</v>
      </c>
      <c r="G103" s="838">
        <f>G104+G105+G106</f>
        <v>230.5</v>
      </c>
      <c r="H103" s="145"/>
    </row>
    <row r="104" spans="1:8" ht="38.25">
      <c r="A104" s="134" t="s">
        <v>155</v>
      </c>
      <c r="B104" s="120" t="s">
        <v>1251</v>
      </c>
      <c r="C104" s="120" t="s">
        <v>400</v>
      </c>
      <c r="D104" s="254" t="s">
        <v>198</v>
      </c>
      <c r="E104" s="837" t="s">
        <v>210</v>
      </c>
      <c r="F104" s="837" t="s">
        <v>236</v>
      </c>
      <c r="G104" s="838">
        <f>'пр. 10 2022г'!G118</f>
        <v>143.85561000000001</v>
      </c>
      <c r="H104" s="145"/>
    </row>
    <row r="105" spans="1:8" ht="51">
      <c r="A105" s="571" t="s">
        <v>416</v>
      </c>
      <c r="B105" s="120" t="s">
        <v>1251</v>
      </c>
      <c r="C105" s="120" t="s">
        <v>417</v>
      </c>
      <c r="D105" s="254" t="s">
        <v>198</v>
      </c>
      <c r="E105" s="837" t="s">
        <v>210</v>
      </c>
      <c r="F105" s="837" t="s">
        <v>236</v>
      </c>
      <c r="G105" s="838">
        <f>'пр. 10 2022г'!G119</f>
        <v>43.444389999999999</v>
      </c>
      <c r="H105" s="145"/>
    </row>
    <row r="106" spans="1:8" ht="38.25">
      <c r="A106" s="138" t="s">
        <v>267</v>
      </c>
      <c r="B106" s="120" t="s">
        <v>1251</v>
      </c>
      <c r="C106" s="120" t="s">
        <v>401</v>
      </c>
      <c r="D106" s="254" t="s">
        <v>198</v>
      </c>
      <c r="E106" s="837" t="s">
        <v>210</v>
      </c>
      <c r="F106" s="837" t="s">
        <v>236</v>
      </c>
      <c r="G106" s="838">
        <f>'пр. 10 2022г'!G120</f>
        <v>43.2</v>
      </c>
      <c r="H106" s="145"/>
    </row>
    <row r="107" spans="1:8" ht="38.25">
      <c r="A107" s="68" t="s">
        <v>50</v>
      </c>
      <c r="B107" s="120" t="s">
        <v>1252</v>
      </c>
      <c r="C107" s="331"/>
      <c r="D107" s="254" t="s">
        <v>198</v>
      </c>
      <c r="E107" s="837" t="s">
        <v>210</v>
      </c>
      <c r="F107" s="837" t="s">
        <v>236</v>
      </c>
      <c r="G107" s="838">
        <f>G108+G109+G110+G111</f>
        <v>894</v>
      </c>
      <c r="H107" s="145"/>
    </row>
    <row r="108" spans="1:8" ht="38.25">
      <c r="A108" s="134" t="s">
        <v>155</v>
      </c>
      <c r="B108" s="120" t="s">
        <v>1252</v>
      </c>
      <c r="C108" s="120" t="s">
        <v>400</v>
      </c>
      <c r="D108" s="254" t="s">
        <v>198</v>
      </c>
      <c r="E108" s="837" t="s">
        <v>210</v>
      </c>
      <c r="F108" s="837" t="s">
        <v>236</v>
      </c>
      <c r="G108" s="838">
        <f>'пр. 10 2022г'!G122</f>
        <v>615.66840000000002</v>
      </c>
      <c r="H108" s="145"/>
    </row>
    <row r="109" spans="1:8" ht="38.25">
      <c r="A109" s="134" t="s">
        <v>10</v>
      </c>
      <c r="B109" s="120" t="s">
        <v>1252</v>
      </c>
      <c r="C109" s="120" t="s">
        <v>405</v>
      </c>
      <c r="D109" s="254" t="s">
        <v>198</v>
      </c>
      <c r="E109" s="837" t="s">
        <v>210</v>
      </c>
      <c r="F109" s="837" t="s">
        <v>236</v>
      </c>
      <c r="G109" s="838">
        <f>'пр. 10 2022г'!G123</f>
        <v>8.23</v>
      </c>
      <c r="H109" s="145"/>
    </row>
    <row r="110" spans="1:8" ht="51">
      <c r="A110" s="571" t="s">
        <v>416</v>
      </c>
      <c r="B110" s="120" t="s">
        <v>1252</v>
      </c>
      <c r="C110" s="120" t="s">
        <v>417</v>
      </c>
      <c r="D110" s="254" t="s">
        <v>198</v>
      </c>
      <c r="E110" s="837" t="s">
        <v>210</v>
      </c>
      <c r="F110" s="837" t="s">
        <v>236</v>
      </c>
      <c r="G110" s="838">
        <f>'пр. 10 2022г'!G124</f>
        <v>185.9316</v>
      </c>
      <c r="H110" s="145"/>
    </row>
    <row r="111" spans="1:8" ht="38.25">
      <c r="A111" s="138" t="s">
        <v>267</v>
      </c>
      <c r="B111" s="120" t="s">
        <v>1252</v>
      </c>
      <c r="C111" s="120" t="s">
        <v>401</v>
      </c>
      <c r="D111" s="254" t="s">
        <v>198</v>
      </c>
      <c r="E111" s="837" t="s">
        <v>210</v>
      </c>
      <c r="F111" s="837" t="s">
        <v>236</v>
      </c>
      <c r="G111" s="838">
        <f>'пр. 10 2022г'!G125</f>
        <v>84.17</v>
      </c>
      <c r="H111" s="145"/>
    </row>
    <row r="112" spans="1:8" ht="38.25">
      <c r="A112" s="328" t="str">
        <f>'пр. 10 2022г'!A126</f>
        <v>Осуществление государственных полномочий по созданию и организации деятельности административных комиссий</v>
      </c>
      <c r="B112" s="129" t="s">
        <v>1253</v>
      </c>
      <c r="C112" s="331"/>
      <c r="D112" s="254" t="s">
        <v>198</v>
      </c>
      <c r="E112" s="837" t="s">
        <v>210</v>
      </c>
      <c r="F112" s="837" t="s">
        <v>236</v>
      </c>
      <c r="G112" s="838">
        <f>G113+G114+G115</f>
        <v>280</v>
      </c>
      <c r="H112" s="145"/>
    </row>
    <row r="113" spans="1:8" ht="38.25">
      <c r="A113" s="134" t="s">
        <v>155</v>
      </c>
      <c r="B113" s="129" t="s">
        <v>1253</v>
      </c>
      <c r="C113" s="120" t="s">
        <v>400</v>
      </c>
      <c r="D113" s="254" t="s">
        <v>198</v>
      </c>
      <c r="E113" s="837" t="s">
        <v>210</v>
      </c>
      <c r="F113" s="837" t="s">
        <v>236</v>
      </c>
      <c r="G113" s="838">
        <f>'пр. 10 2022г'!G127</f>
        <v>179.56238999999999</v>
      </c>
      <c r="H113" s="145"/>
    </row>
    <row r="114" spans="1:8" ht="51">
      <c r="A114" s="571" t="s">
        <v>416</v>
      </c>
      <c r="B114" s="129" t="s">
        <v>1253</v>
      </c>
      <c r="C114" s="120" t="s">
        <v>417</v>
      </c>
      <c r="D114" s="254" t="s">
        <v>198</v>
      </c>
      <c r="E114" s="837" t="s">
        <v>210</v>
      </c>
      <c r="F114" s="837" t="s">
        <v>236</v>
      </c>
      <c r="G114" s="838">
        <f>'пр. 10 2022г'!G128</f>
        <v>54.227609999999999</v>
      </c>
      <c r="H114" s="145"/>
    </row>
    <row r="115" spans="1:8" ht="38.25">
      <c r="A115" s="138" t="s">
        <v>267</v>
      </c>
      <c r="B115" s="129" t="s">
        <v>1253</v>
      </c>
      <c r="C115" s="120" t="s">
        <v>401</v>
      </c>
      <c r="D115" s="254" t="s">
        <v>198</v>
      </c>
      <c r="E115" s="837" t="s">
        <v>210</v>
      </c>
      <c r="F115" s="837" t="s">
        <v>236</v>
      </c>
      <c r="G115" s="838">
        <f>'пр. 10 2022г'!G129</f>
        <v>46.21</v>
      </c>
      <c r="H115" s="145"/>
    </row>
    <row r="116" spans="1:8" ht="76.5">
      <c r="A116" s="68" t="s">
        <v>402</v>
      </c>
      <c r="B116" s="142" t="s">
        <v>1270</v>
      </c>
      <c r="C116" s="142"/>
      <c r="D116" s="254" t="s">
        <v>198</v>
      </c>
      <c r="E116" s="837" t="s">
        <v>219</v>
      </c>
      <c r="F116" s="837" t="s">
        <v>217</v>
      </c>
      <c r="G116" s="838">
        <f>G117+G118</f>
        <v>3</v>
      </c>
      <c r="H116" s="145"/>
    </row>
    <row r="117" spans="1:8" ht="25.5">
      <c r="A117" s="134" t="s">
        <v>415</v>
      </c>
      <c r="B117" s="142" t="s">
        <v>1270</v>
      </c>
      <c r="C117" s="120" t="s">
        <v>400</v>
      </c>
      <c r="D117" s="254" t="s">
        <v>198</v>
      </c>
      <c r="E117" s="837" t="s">
        <v>219</v>
      </c>
      <c r="F117" s="837" t="s">
        <v>217</v>
      </c>
      <c r="G117" s="838">
        <f>'пр. 10 2022г'!G186</f>
        <v>2.3041499999999999</v>
      </c>
      <c r="H117" s="145"/>
    </row>
    <row r="118" spans="1:8" ht="51">
      <c r="A118" s="571" t="s">
        <v>416</v>
      </c>
      <c r="B118" s="142" t="s">
        <v>1270</v>
      </c>
      <c r="C118" s="120" t="s">
        <v>417</v>
      </c>
      <c r="D118" s="254" t="s">
        <v>198</v>
      </c>
      <c r="E118" s="837" t="s">
        <v>219</v>
      </c>
      <c r="F118" s="837" t="s">
        <v>217</v>
      </c>
      <c r="G118" s="838">
        <f>'пр. 10 2022г'!G187</f>
        <v>0.69584999999999997</v>
      </c>
      <c r="H118" s="145"/>
    </row>
    <row r="119" spans="1:8" ht="51">
      <c r="A119" s="136" t="s">
        <v>181</v>
      </c>
      <c r="B119" s="129" t="s">
        <v>1254</v>
      </c>
      <c r="C119" s="120"/>
      <c r="D119" s="254" t="s">
        <v>198</v>
      </c>
      <c r="E119" s="837" t="s">
        <v>215</v>
      </c>
      <c r="F119" s="837" t="s">
        <v>216</v>
      </c>
      <c r="G119" s="838">
        <f>G120+G121+G122</f>
        <v>1378.7</v>
      </c>
      <c r="H119" s="145"/>
    </row>
    <row r="120" spans="1:8" ht="25.5">
      <c r="A120" s="134" t="s">
        <v>415</v>
      </c>
      <c r="B120" s="129" t="s">
        <v>1254</v>
      </c>
      <c r="C120" s="120" t="s">
        <v>400</v>
      </c>
      <c r="D120" s="254" t="s">
        <v>198</v>
      </c>
      <c r="E120" s="837" t="s">
        <v>215</v>
      </c>
      <c r="F120" s="837" t="s">
        <v>216</v>
      </c>
      <c r="G120" s="838">
        <f>'пр. 10 2022г'!G260</f>
        <v>968.42738999999995</v>
      </c>
      <c r="H120" s="145"/>
    </row>
    <row r="121" spans="1:8" ht="51">
      <c r="A121" s="571" t="s">
        <v>416</v>
      </c>
      <c r="B121" s="129" t="s">
        <v>1254</v>
      </c>
      <c r="C121" s="120" t="s">
        <v>417</v>
      </c>
      <c r="D121" s="254" t="s">
        <v>198</v>
      </c>
      <c r="E121" s="837" t="s">
        <v>215</v>
      </c>
      <c r="F121" s="837" t="s">
        <v>216</v>
      </c>
      <c r="G121" s="838">
        <f>'пр. 10 2022г'!G261</f>
        <v>292.46661</v>
      </c>
      <c r="H121" s="145"/>
    </row>
    <row r="122" spans="1:8" ht="38.25">
      <c r="A122" s="138" t="s">
        <v>267</v>
      </c>
      <c r="B122" s="129" t="s">
        <v>1254</v>
      </c>
      <c r="C122" s="120" t="s">
        <v>401</v>
      </c>
      <c r="D122" s="254" t="s">
        <v>198</v>
      </c>
      <c r="E122" s="837" t="s">
        <v>215</v>
      </c>
      <c r="F122" s="837" t="s">
        <v>216</v>
      </c>
      <c r="G122" s="838">
        <f>'пр. 10 2022г'!G262</f>
        <v>117.806</v>
      </c>
      <c r="H122" s="145"/>
    </row>
    <row r="123" spans="1:8" ht="38.25">
      <c r="A123" s="68" t="s">
        <v>180</v>
      </c>
      <c r="B123" s="142" t="s">
        <v>1255</v>
      </c>
      <c r="C123" s="142"/>
      <c r="D123" s="254" t="s">
        <v>198</v>
      </c>
      <c r="E123" s="837" t="s">
        <v>215</v>
      </c>
      <c r="F123" s="837" t="s">
        <v>216</v>
      </c>
      <c r="G123" s="838">
        <f>G124+G125+G126+G127</f>
        <v>1378.6999999999998</v>
      </c>
      <c r="H123" s="145"/>
    </row>
    <row r="124" spans="1:8" ht="25.5">
      <c r="A124" s="134" t="s">
        <v>415</v>
      </c>
      <c r="B124" s="142" t="s">
        <v>1255</v>
      </c>
      <c r="C124" s="120" t="s">
        <v>400</v>
      </c>
      <c r="D124" s="254" t="s">
        <v>198</v>
      </c>
      <c r="E124" s="837" t="s">
        <v>215</v>
      </c>
      <c r="F124" s="837" t="s">
        <v>216</v>
      </c>
      <c r="G124" s="838">
        <f>'пр. 10 2022г'!G264</f>
        <v>923.50221999999997</v>
      </c>
      <c r="H124" s="145"/>
    </row>
    <row r="125" spans="1:8" ht="38.25">
      <c r="A125" s="134" t="s">
        <v>10</v>
      </c>
      <c r="B125" s="142" t="s">
        <v>1255</v>
      </c>
      <c r="C125" s="120" t="s">
        <v>405</v>
      </c>
      <c r="D125" s="254" t="s">
        <v>198</v>
      </c>
      <c r="E125" s="837" t="s">
        <v>215</v>
      </c>
      <c r="F125" s="837" t="s">
        <v>216</v>
      </c>
      <c r="G125" s="838">
        <f>'пр. 10 2022г'!G265</f>
        <v>24.2</v>
      </c>
      <c r="H125" s="145"/>
    </row>
    <row r="126" spans="1:8" ht="51">
      <c r="A126" s="571" t="s">
        <v>416</v>
      </c>
      <c r="B126" s="142" t="s">
        <v>1255</v>
      </c>
      <c r="C126" s="120" t="s">
        <v>417</v>
      </c>
      <c r="D126" s="254" t="s">
        <v>198</v>
      </c>
      <c r="E126" s="837" t="s">
        <v>215</v>
      </c>
      <c r="F126" s="837" t="s">
        <v>216</v>
      </c>
      <c r="G126" s="838">
        <f>'пр. 10 2022г'!G266</f>
        <v>278.89778000000001</v>
      </c>
      <c r="H126" s="145"/>
    </row>
    <row r="127" spans="1:8" ht="38.25">
      <c r="A127" s="138" t="s">
        <v>267</v>
      </c>
      <c r="B127" s="142" t="s">
        <v>1255</v>
      </c>
      <c r="C127" s="120" t="s">
        <v>401</v>
      </c>
      <c r="D127" s="254" t="s">
        <v>198</v>
      </c>
      <c r="E127" s="837" t="s">
        <v>215</v>
      </c>
      <c r="F127" s="837" t="s">
        <v>216</v>
      </c>
      <c r="G127" s="838">
        <f>'пр. 10 2022г'!G267</f>
        <v>152.1</v>
      </c>
      <c r="H127" s="145"/>
    </row>
    <row r="128" spans="1:8" ht="63.75">
      <c r="A128" s="138" t="s">
        <v>1037</v>
      </c>
      <c r="B128" s="120" t="s">
        <v>1256</v>
      </c>
      <c r="C128" s="120"/>
      <c r="D128" s="254" t="s">
        <v>198</v>
      </c>
      <c r="E128" s="837" t="s">
        <v>215</v>
      </c>
      <c r="F128" s="837" t="s">
        <v>216</v>
      </c>
      <c r="G128" s="838">
        <f>G129+G130</f>
        <v>83.699999999999989</v>
      </c>
      <c r="H128" s="145"/>
    </row>
    <row r="129" spans="1:8" ht="25.5">
      <c r="A129" s="134" t="s">
        <v>415</v>
      </c>
      <c r="B129" s="120" t="s">
        <v>1256</v>
      </c>
      <c r="C129" s="120" t="s">
        <v>400</v>
      </c>
      <c r="D129" s="254" t="s">
        <v>198</v>
      </c>
      <c r="E129" s="837" t="s">
        <v>215</v>
      </c>
      <c r="F129" s="837" t="s">
        <v>216</v>
      </c>
      <c r="G129" s="838">
        <f>'пр. 10 2022г'!G269</f>
        <v>64.285709999999995</v>
      </c>
      <c r="H129" s="145"/>
    </row>
    <row r="130" spans="1:8" ht="51">
      <c r="A130" s="571" t="s">
        <v>416</v>
      </c>
      <c r="B130" s="120" t="s">
        <v>1256</v>
      </c>
      <c r="C130" s="120" t="s">
        <v>417</v>
      </c>
      <c r="D130" s="254" t="s">
        <v>198</v>
      </c>
      <c r="E130" s="837" t="s">
        <v>215</v>
      </c>
      <c r="F130" s="837" t="s">
        <v>216</v>
      </c>
      <c r="G130" s="838">
        <f>'пр. 10 2022г'!G270</f>
        <v>19.414290000000001</v>
      </c>
      <c r="H130" s="145"/>
    </row>
    <row r="131" spans="1:8" ht="25.5">
      <c r="A131" s="253" t="s">
        <v>1217</v>
      </c>
      <c r="B131" s="254" t="s">
        <v>1257</v>
      </c>
      <c r="C131" s="331"/>
      <c r="D131" s="331" t="s">
        <v>1223</v>
      </c>
      <c r="E131" s="837"/>
      <c r="F131" s="837"/>
      <c r="G131" s="838">
        <f>G132+G136+G141+G144+G147+G139</f>
        <v>3435.2211299999999</v>
      </c>
      <c r="H131" s="145"/>
    </row>
    <row r="132" spans="1:8">
      <c r="A132" s="594" t="s">
        <v>1207</v>
      </c>
      <c r="B132" s="142" t="s">
        <v>1258</v>
      </c>
      <c r="C132" s="331"/>
      <c r="D132" s="331" t="s">
        <v>1223</v>
      </c>
      <c r="E132" s="837" t="s">
        <v>210</v>
      </c>
      <c r="F132" s="837" t="s">
        <v>213</v>
      </c>
      <c r="G132" s="838">
        <f>G133+G134+G135</f>
        <v>611.04330000000004</v>
      </c>
      <c r="H132" s="145"/>
    </row>
    <row r="133" spans="1:8" ht="25.5">
      <c r="A133" s="134" t="s">
        <v>415</v>
      </c>
      <c r="B133" s="142" t="s">
        <v>1258</v>
      </c>
      <c r="C133" s="120" t="s">
        <v>400</v>
      </c>
      <c r="D133" s="331" t="s">
        <v>1223</v>
      </c>
      <c r="E133" s="837" t="s">
        <v>210</v>
      </c>
      <c r="F133" s="837" t="s">
        <v>213</v>
      </c>
      <c r="G133" s="838">
        <f>'пр. 10 2022г'!G19</f>
        <v>185.13300000000001</v>
      </c>
      <c r="H133" s="145"/>
    </row>
    <row r="134" spans="1:8" ht="51">
      <c r="A134" s="571" t="s">
        <v>416</v>
      </c>
      <c r="B134" s="142" t="s">
        <v>1258</v>
      </c>
      <c r="C134" s="120" t="s">
        <v>417</v>
      </c>
      <c r="D134" s="331" t="s">
        <v>1223</v>
      </c>
      <c r="E134" s="837" t="s">
        <v>210</v>
      </c>
      <c r="F134" s="837" t="s">
        <v>213</v>
      </c>
      <c r="G134" s="838">
        <f>'пр. 10 2022г'!G20</f>
        <v>55.910299999999999</v>
      </c>
      <c r="H134" s="145"/>
    </row>
    <row r="135" spans="1:8" ht="38.25">
      <c r="A135" s="138" t="s">
        <v>267</v>
      </c>
      <c r="B135" s="142" t="s">
        <v>1258</v>
      </c>
      <c r="C135" s="120" t="s">
        <v>401</v>
      </c>
      <c r="D135" s="331" t="s">
        <v>1223</v>
      </c>
      <c r="E135" s="837" t="s">
        <v>210</v>
      </c>
      <c r="F135" s="837" t="s">
        <v>213</v>
      </c>
      <c r="G135" s="838">
        <f>'пр. 10 2022г'!G21</f>
        <v>370</v>
      </c>
      <c r="H135" s="145"/>
    </row>
    <row r="136" spans="1:8" ht="38.25">
      <c r="A136" s="68" t="s">
        <v>374</v>
      </c>
      <c r="B136" s="142" t="s">
        <v>1259</v>
      </c>
      <c r="C136" s="331"/>
      <c r="D136" s="331" t="s">
        <v>1223</v>
      </c>
      <c r="E136" s="837" t="s">
        <v>210</v>
      </c>
      <c r="F136" s="837" t="s">
        <v>213</v>
      </c>
      <c r="G136" s="838">
        <f>G137+G138</f>
        <v>946.69250000000011</v>
      </c>
      <c r="H136" s="145"/>
    </row>
    <row r="137" spans="1:8" ht="25.5">
      <c r="A137" s="134" t="s">
        <v>415</v>
      </c>
      <c r="B137" s="142" t="s">
        <v>1259</v>
      </c>
      <c r="C137" s="120" t="s">
        <v>400</v>
      </c>
      <c r="D137" s="331" t="s">
        <v>1223</v>
      </c>
      <c r="E137" s="837" t="s">
        <v>210</v>
      </c>
      <c r="F137" s="837" t="s">
        <v>213</v>
      </c>
      <c r="G137" s="838">
        <f>'пр. 10 2022г'!G23</f>
        <v>727.10625000000005</v>
      </c>
      <c r="H137" s="145"/>
    </row>
    <row r="138" spans="1:8" ht="51">
      <c r="A138" s="571" t="s">
        <v>416</v>
      </c>
      <c r="B138" s="142" t="s">
        <v>1259</v>
      </c>
      <c r="C138" s="120" t="s">
        <v>417</v>
      </c>
      <c r="D138" s="331" t="s">
        <v>1223</v>
      </c>
      <c r="E138" s="837" t="s">
        <v>210</v>
      </c>
      <c r="F138" s="837" t="s">
        <v>213</v>
      </c>
      <c r="G138" s="838">
        <f>'пр. 10 2022г'!G24</f>
        <v>219.58625000000001</v>
      </c>
      <c r="H138" s="145"/>
    </row>
    <row r="139" spans="1:8" ht="25.5">
      <c r="A139" s="68" t="s">
        <v>381</v>
      </c>
      <c r="B139" s="120" t="s">
        <v>1260</v>
      </c>
      <c r="C139" s="331"/>
      <c r="D139" s="331" t="s">
        <v>1223</v>
      </c>
      <c r="E139" s="837" t="s">
        <v>210</v>
      </c>
      <c r="F139" s="837" t="s">
        <v>213</v>
      </c>
      <c r="G139" s="838">
        <f>G140</f>
        <v>380</v>
      </c>
      <c r="H139" s="145"/>
    </row>
    <row r="140" spans="1:8" ht="51">
      <c r="A140" s="135" t="s">
        <v>135</v>
      </c>
      <c r="B140" s="120" t="s">
        <v>1260</v>
      </c>
      <c r="C140" s="128" t="s">
        <v>136</v>
      </c>
      <c r="D140" s="331" t="s">
        <v>1223</v>
      </c>
      <c r="E140" s="837" t="s">
        <v>210</v>
      </c>
      <c r="F140" s="837" t="s">
        <v>213</v>
      </c>
      <c r="G140" s="838">
        <f>'пр. 10 2022г'!G26</f>
        <v>380</v>
      </c>
      <c r="H140" s="145"/>
    </row>
    <row r="141" spans="1:8" ht="38.25">
      <c r="A141" s="519" t="s">
        <v>375</v>
      </c>
      <c r="B141" s="646" t="s">
        <v>1261</v>
      </c>
      <c r="C141" s="331"/>
      <c r="D141" s="331" t="s">
        <v>1223</v>
      </c>
      <c r="E141" s="837" t="s">
        <v>210</v>
      </c>
      <c r="F141" s="837" t="s">
        <v>216</v>
      </c>
      <c r="G141" s="838">
        <f>G142+G143</f>
        <v>744.18283000000008</v>
      </c>
      <c r="H141" s="145"/>
    </row>
    <row r="142" spans="1:8" ht="38.25">
      <c r="A142" s="134" t="s">
        <v>155</v>
      </c>
      <c r="B142" s="646" t="s">
        <v>1261</v>
      </c>
      <c r="C142" s="120" t="s">
        <v>400</v>
      </c>
      <c r="D142" s="331" t="s">
        <v>1223</v>
      </c>
      <c r="E142" s="837" t="s">
        <v>210</v>
      </c>
      <c r="F142" s="837" t="s">
        <v>216</v>
      </c>
      <c r="G142" s="838">
        <f>'пр. 10 2022г'!G34</f>
        <v>571.56883000000005</v>
      </c>
      <c r="H142" s="145"/>
    </row>
    <row r="143" spans="1:8" ht="51">
      <c r="A143" s="571" t="s">
        <v>416</v>
      </c>
      <c r="B143" s="646" t="s">
        <v>1261</v>
      </c>
      <c r="C143" s="120" t="s">
        <v>417</v>
      </c>
      <c r="D143" s="331" t="s">
        <v>1223</v>
      </c>
      <c r="E143" s="837" t="s">
        <v>210</v>
      </c>
      <c r="F143" s="837" t="s">
        <v>216</v>
      </c>
      <c r="G143" s="838">
        <f>'пр. 10 2022г'!G35</f>
        <v>172.614</v>
      </c>
      <c r="H143" s="145"/>
    </row>
    <row r="144" spans="1:8" ht="38.25">
      <c r="A144" s="519" t="s">
        <v>238</v>
      </c>
      <c r="B144" s="646" t="s">
        <v>1262</v>
      </c>
      <c r="C144" s="331"/>
      <c r="D144" s="331" t="s">
        <v>1223</v>
      </c>
      <c r="E144" s="837" t="s">
        <v>210</v>
      </c>
      <c r="F144" s="837" t="s">
        <v>216</v>
      </c>
      <c r="G144" s="838">
        <f>G145+G146</f>
        <v>304.10250000000002</v>
      </c>
      <c r="H144" s="145"/>
    </row>
    <row r="145" spans="1:8" ht="38.25">
      <c r="A145" s="134" t="s">
        <v>155</v>
      </c>
      <c r="B145" s="646" t="s">
        <v>1262</v>
      </c>
      <c r="C145" s="120" t="s">
        <v>400</v>
      </c>
      <c r="D145" s="331" t="s">
        <v>1223</v>
      </c>
      <c r="E145" s="837" t="s">
        <v>210</v>
      </c>
      <c r="F145" s="837" t="s">
        <v>216</v>
      </c>
      <c r="G145" s="838">
        <f>'пр. 10 2022г'!G37</f>
        <v>233.56558000000001</v>
      </c>
      <c r="H145" s="145"/>
    </row>
    <row r="146" spans="1:8" ht="51">
      <c r="A146" s="571" t="s">
        <v>416</v>
      </c>
      <c r="B146" s="646" t="s">
        <v>1262</v>
      </c>
      <c r="C146" s="120" t="s">
        <v>417</v>
      </c>
      <c r="D146" s="331" t="s">
        <v>1223</v>
      </c>
      <c r="E146" s="837" t="s">
        <v>210</v>
      </c>
      <c r="F146" s="837" t="s">
        <v>216</v>
      </c>
      <c r="G146" s="838">
        <f>'пр. 10 2022г'!G38</f>
        <v>70.536919999999995</v>
      </c>
      <c r="H146" s="145"/>
    </row>
    <row r="147" spans="1:8" ht="25.5">
      <c r="A147" s="519" t="s">
        <v>379</v>
      </c>
      <c r="B147" s="646" t="s">
        <v>1263</v>
      </c>
      <c r="C147" s="331"/>
      <c r="D147" s="331" t="s">
        <v>1223</v>
      </c>
      <c r="E147" s="837" t="s">
        <v>210</v>
      </c>
      <c r="F147" s="837" t="s">
        <v>216</v>
      </c>
      <c r="G147" s="838">
        <f>G148+G149</f>
        <v>449.2</v>
      </c>
      <c r="H147" s="145"/>
    </row>
    <row r="148" spans="1:8" ht="38.25">
      <c r="A148" s="134" t="s">
        <v>155</v>
      </c>
      <c r="B148" s="646" t="s">
        <v>1263</v>
      </c>
      <c r="C148" s="120" t="s">
        <v>400</v>
      </c>
      <c r="D148" s="331" t="s">
        <v>1223</v>
      </c>
      <c r="E148" s="837" t="s">
        <v>210</v>
      </c>
      <c r="F148" s="837" t="s">
        <v>216</v>
      </c>
      <c r="G148" s="838">
        <f>'пр. 10 2022г'!G31</f>
        <v>345.00767999999999</v>
      </c>
      <c r="H148" s="145"/>
    </row>
    <row r="149" spans="1:8" ht="51">
      <c r="A149" s="571" t="s">
        <v>416</v>
      </c>
      <c r="B149" s="646" t="s">
        <v>1263</v>
      </c>
      <c r="C149" s="120" t="s">
        <v>417</v>
      </c>
      <c r="D149" s="331" t="s">
        <v>1223</v>
      </c>
      <c r="E149" s="837" t="s">
        <v>210</v>
      </c>
      <c r="F149" s="837" t="s">
        <v>216</v>
      </c>
      <c r="G149" s="838">
        <f>'пр. 10 2022г'!G32</f>
        <v>104.19232</v>
      </c>
      <c r="H149" s="145"/>
    </row>
    <row r="150" spans="1:8" ht="38.25">
      <c r="A150" s="669" t="s">
        <v>1238</v>
      </c>
      <c r="B150" s="855" t="s">
        <v>1264</v>
      </c>
      <c r="C150" s="856"/>
      <c r="D150" s="856" t="s">
        <v>198</v>
      </c>
      <c r="E150" s="857"/>
      <c r="F150" s="857"/>
      <c r="G150" s="858">
        <f>G151</f>
        <v>29125.686300000001</v>
      </c>
      <c r="H150" s="145"/>
    </row>
    <row r="151" spans="1:8" ht="38.25">
      <c r="A151" s="519" t="s">
        <v>1239</v>
      </c>
      <c r="B151" s="632" t="s">
        <v>1265</v>
      </c>
      <c r="C151" s="521"/>
      <c r="D151" s="521" t="s">
        <v>198</v>
      </c>
      <c r="E151" s="569"/>
      <c r="F151" s="569"/>
      <c r="G151" s="522">
        <f>G152</f>
        <v>29125.686300000001</v>
      </c>
      <c r="H151" s="145"/>
    </row>
    <row r="152" spans="1:8" ht="51">
      <c r="A152" s="134" t="s">
        <v>262</v>
      </c>
      <c r="B152" s="632" t="s">
        <v>1265</v>
      </c>
      <c r="C152" s="120" t="s">
        <v>408</v>
      </c>
      <c r="D152" s="120" t="s">
        <v>198</v>
      </c>
      <c r="E152" s="142" t="s">
        <v>210</v>
      </c>
      <c r="F152" s="142" t="s">
        <v>236</v>
      </c>
      <c r="G152" s="346">
        <f>'пр. 10 2022г'!G132</f>
        <v>29125.686300000001</v>
      </c>
      <c r="H152" s="145"/>
    </row>
    <row r="153" spans="1:8" ht="38.25">
      <c r="A153" s="141" t="s">
        <v>779</v>
      </c>
      <c r="B153" s="133" t="s">
        <v>847</v>
      </c>
      <c r="C153" s="131"/>
      <c r="D153" s="131" t="s">
        <v>198</v>
      </c>
      <c r="E153" s="131" t="s">
        <v>213</v>
      </c>
      <c r="F153" s="131" t="s">
        <v>214</v>
      </c>
      <c r="G153" s="143">
        <f>G154+G156</f>
        <v>4667.7999999999993</v>
      </c>
      <c r="H153" s="145"/>
    </row>
    <row r="154" spans="1:8" ht="38.25">
      <c r="A154" s="209" t="s">
        <v>870</v>
      </c>
      <c r="B154" s="133" t="s">
        <v>508</v>
      </c>
      <c r="C154" s="521"/>
      <c r="D154" s="133" t="s">
        <v>198</v>
      </c>
      <c r="E154" s="133" t="s">
        <v>213</v>
      </c>
      <c r="F154" s="133" t="s">
        <v>214</v>
      </c>
      <c r="G154" s="522">
        <f>G155</f>
        <v>2794.5</v>
      </c>
      <c r="H154" s="391"/>
    </row>
    <row r="155" spans="1:8" ht="38.25">
      <c r="A155" s="138" t="s">
        <v>267</v>
      </c>
      <c r="B155" s="133" t="s">
        <v>508</v>
      </c>
      <c r="C155" s="133" t="s">
        <v>401</v>
      </c>
      <c r="D155" s="133" t="s">
        <v>198</v>
      </c>
      <c r="E155" s="133" t="s">
        <v>213</v>
      </c>
      <c r="F155" s="133" t="s">
        <v>214</v>
      </c>
      <c r="G155" s="145">
        <f>'пр. 10 2022г'!G137</f>
        <v>2794.5</v>
      </c>
      <c r="H155" s="145"/>
    </row>
    <row r="156" spans="1:8" ht="38.25">
      <c r="A156" s="745" t="s">
        <v>1028</v>
      </c>
      <c r="B156" s="133" t="s">
        <v>1218</v>
      </c>
      <c r="C156" s="133"/>
      <c r="D156" s="133" t="s">
        <v>198</v>
      </c>
      <c r="E156" s="133" t="s">
        <v>219</v>
      </c>
      <c r="F156" s="133" t="s">
        <v>220</v>
      </c>
      <c r="G156" s="145">
        <f>G157+G159+G162+G164</f>
        <v>1873.2999999999997</v>
      </c>
      <c r="H156" s="145"/>
    </row>
    <row r="157" spans="1:8" ht="38.25">
      <c r="A157" s="594" t="s">
        <v>536</v>
      </c>
      <c r="B157" s="129" t="s">
        <v>1200</v>
      </c>
      <c r="C157" s="840"/>
      <c r="D157" s="133" t="s">
        <v>198</v>
      </c>
      <c r="E157" s="133" t="s">
        <v>219</v>
      </c>
      <c r="F157" s="133" t="s">
        <v>220</v>
      </c>
      <c r="G157" s="145">
        <f>G158</f>
        <v>1674.6</v>
      </c>
      <c r="H157" s="145"/>
    </row>
    <row r="158" spans="1:8" ht="38.25">
      <c r="A158" s="138" t="s">
        <v>267</v>
      </c>
      <c r="B158" s="128" t="s">
        <v>1200</v>
      </c>
      <c r="C158" s="347">
        <v>244</v>
      </c>
      <c r="D158" s="133" t="s">
        <v>198</v>
      </c>
      <c r="E158" s="133" t="s">
        <v>219</v>
      </c>
      <c r="F158" s="133" t="s">
        <v>220</v>
      </c>
      <c r="G158" s="145">
        <f>'пр. 10 2022г'!G145</f>
        <v>1674.6</v>
      </c>
      <c r="H158" s="145"/>
    </row>
    <row r="159" spans="1:8" ht="38.25">
      <c r="A159" s="594" t="s">
        <v>544</v>
      </c>
      <c r="B159" s="128" t="s">
        <v>1201</v>
      </c>
      <c r="C159" s="840"/>
      <c r="D159" s="133" t="s">
        <v>198</v>
      </c>
      <c r="E159" s="133" t="s">
        <v>219</v>
      </c>
      <c r="F159" s="133" t="s">
        <v>220</v>
      </c>
      <c r="G159" s="145">
        <f>G160+G161</f>
        <v>25.1</v>
      </c>
      <c r="H159" s="145"/>
    </row>
    <row r="160" spans="1:8" ht="25.5">
      <c r="A160" s="134" t="s">
        <v>415</v>
      </c>
      <c r="B160" s="128" t="s">
        <v>1201</v>
      </c>
      <c r="C160" s="120" t="s">
        <v>400</v>
      </c>
      <c r="D160" s="133" t="s">
        <v>198</v>
      </c>
      <c r="E160" s="133" t="s">
        <v>219</v>
      </c>
      <c r="F160" s="133" t="s">
        <v>220</v>
      </c>
      <c r="G160" s="145">
        <f>'пр. 10 2022г'!G147</f>
        <v>19.278030000000001</v>
      </c>
      <c r="H160" s="145"/>
    </row>
    <row r="161" spans="1:8" ht="51">
      <c r="A161" s="571" t="s">
        <v>416</v>
      </c>
      <c r="B161" s="128" t="s">
        <v>1202</v>
      </c>
      <c r="C161" s="120" t="s">
        <v>417</v>
      </c>
      <c r="D161" s="133" t="s">
        <v>198</v>
      </c>
      <c r="E161" s="133" t="s">
        <v>219</v>
      </c>
      <c r="F161" s="133" t="s">
        <v>220</v>
      </c>
      <c r="G161" s="145">
        <f>'пр. 10 2022г'!G148</f>
        <v>5.8219700000000003</v>
      </c>
      <c r="H161" s="145"/>
    </row>
    <row r="162" spans="1:8" ht="51">
      <c r="A162" s="841" t="s">
        <v>1082</v>
      </c>
      <c r="B162" s="128" t="s">
        <v>1203</v>
      </c>
      <c r="C162" s="330"/>
      <c r="D162" s="133" t="s">
        <v>198</v>
      </c>
      <c r="E162" s="133" t="s">
        <v>219</v>
      </c>
      <c r="F162" s="133" t="s">
        <v>220</v>
      </c>
      <c r="G162" s="145">
        <f>G163</f>
        <v>151</v>
      </c>
      <c r="H162" s="145"/>
    </row>
    <row r="163" spans="1:8" ht="38.25">
      <c r="A163" s="138" t="s">
        <v>267</v>
      </c>
      <c r="B163" s="128" t="s">
        <v>1203</v>
      </c>
      <c r="C163" s="330">
        <v>244</v>
      </c>
      <c r="D163" s="133" t="s">
        <v>198</v>
      </c>
      <c r="E163" s="133" t="s">
        <v>219</v>
      </c>
      <c r="F163" s="133" t="s">
        <v>220</v>
      </c>
      <c r="G163" s="145">
        <f>'пр. 10 2022г'!G150</f>
        <v>151</v>
      </c>
      <c r="H163" s="145"/>
    </row>
    <row r="164" spans="1:8" ht="51">
      <c r="A164" s="841" t="s">
        <v>1077</v>
      </c>
      <c r="B164" s="128" t="s">
        <v>1204</v>
      </c>
      <c r="C164" s="330"/>
      <c r="D164" s="133" t="s">
        <v>198</v>
      </c>
      <c r="E164" s="133" t="s">
        <v>219</v>
      </c>
      <c r="F164" s="133" t="s">
        <v>220</v>
      </c>
      <c r="G164" s="145">
        <f>G165+G166</f>
        <v>22.6</v>
      </c>
      <c r="H164" s="145"/>
    </row>
    <row r="165" spans="1:8" ht="25.5">
      <c r="A165" s="134" t="s">
        <v>415</v>
      </c>
      <c r="B165" s="128" t="s">
        <v>1204</v>
      </c>
      <c r="C165" s="330">
        <v>121</v>
      </c>
      <c r="D165" s="133" t="s">
        <v>198</v>
      </c>
      <c r="E165" s="133" t="s">
        <v>219</v>
      </c>
      <c r="F165" s="133" t="s">
        <v>220</v>
      </c>
      <c r="G165" s="145">
        <f>'пр. 10 2022г'!G152</f>
        <v>17.35791</v>
      </c>
      <c r="H165" s="145"/>
    </row>
    <row r="166" spans="1:8" ht="51">
      <c r="A166" s="571" t="s">
        <v>416</v>
      </c>
      <c r="B166" s="128" t="s">
        <v>1204</v>
      </c>
      <c r="C166" s="330">
        <v>129</v>
      </c>
      <c r="D166" s="133" t="s">
        <v>198</v>
      </c>
      <c r="E166" s="133" t="s">
        <v>219</v>
      </c>
      <c r="F166" s="133" t="s">
        <v>220</v>
      </c>
      <c r="G166" s="145">
        <f>'пр. 10 2022г'!G153</f>
        <v>5.2420900000000001</v>
      </c>
      <c r="H166" s="145"/>
    </row>
    <row r="167" spans="1:8" ht="38.25">
      <c r="A167" s="141" t="s">
        <v>780</v>
      </c>
      <c r="B167" s="131" t="s">
        <v>576</v>
      </c>
      <c r="C167" s="131"/>
      <c r="D167" s="131" t="s">
        <v>198</v>
      </c>
      <c r="E167" s="131"/>
      <c r="F167" s="131"/>
      <c r="G167" s="143">
        <f>G168</f>
        <v>18819.761459999998</v>
      </c>
      <c r="H167" s="143" t="e">
        <f t="shared" ref="H167" si="11">H168</f>
        <v>#REF!</v>
      </c>
    </row>
    <row r="168" spans="1:8" ht="25.5">
      <c r="A168" s="141" t="s">
        <v>879</v>
      </c>
      <c r="B168" s="131" t="s">
        <v>914</v>
      </c>
      <c r="C168" s="131"/>
      <c r="D168" s="131" t="s">
        <v>198</v>
      </c>
      <c r="E168" s="131" t="s">
        <v>218</v>
      </c>
      <c r="F168" s="131" t="s">
        <v>915</v>
      </c>
      <c r="G168" s="143">
        <f>G169+G170+G171+G172+G175+G178+G179+G181+G183</f>
        <v>18819.761459999998</v>
      </c>
      <c r="H168" s="143" t="e">
        <f>H170+H171+H178+H179+H181+#REF!+H183</f>
        <v>#REF!</v>
      </c>
    </row>
    <row r="169" spans="1:8" s="214" customFormat="1" ht="51">
      <c r="A169" s="328" t="s">
        <v>720</v>
      </c>
      <c r="B169" s="128" t="s">
        <v>525</v>
      </c>
      <c r="C169" s="632" t="s">
        <v>719</v>
      </c>
      <c r="D169" s="133" t="s">
        <v>198</v>
      </c>
      <c r="E169" s="133" t="s">
        <v>218</v>
      </c>
      <c r="F169" s="133" t="s">
        <v>210</v>
      </c>
      <c r="G169" s="391">
        <f>'пр. 10 2022г'!G275</f>
        <v>100</v>
      </c>
      <c r="H169" s="522"/>
    </row>
    <row r="170" spans="1:8" ht="38.25">
      <c r="A170" s="138" t="s">
        <v>267</v>
      </c>
      <c r="B170" s="128" t="s">
        <v>525</v>
      </c>
      <c r="C170" s="128" t="s">
        <v>401</v>
      </c>
      <c r="D170" s="133" t="s">
        <v>198</v>
      </c>
      <c r="E170" s="133" t="s">
        <v>218</v>
      </c>
      <c r="F170" s="133" t="s">
        <v>210</v>
      </c>
      <c r="G170" s="145">
        <f>'пр. 10 2022г'!G276</f>
        <v>1197.0999999999999</v>
      </c>
      <c r="H170" s="145"/>
    </row>
    <row r="171" spans="1:8">
      <c r="A171" s="574" t="s">
        <v>668</v>
      </c>
      <c r="B171" s="128" t="s">
        <v>525</v>
      </c>
      <c r="C171" s="128" t="s">
        <v>667</v>
      </c>
      <c r="D171" s="133" t="s">
        <v>198</v>
      </c>
      <c r="E171" s="133" t="s">
        <v>218</v>
      </c>
      <c r="F171" s="133" t="s">
        <v>210</v>
      </c>
      <c r="G171" s="145">
        <f>'пр. 10 2022г'!G277</f>
        <v>200</v>
      </c>
      <c r="H171" s="145"/>
    </row>
    <row r="172" spans="1:8" ht="25.5">
      <c r="A172" s="68" t="s">
        <v>101</v>
      </c>
      <c r="B172" s="120" t="s">
        <v>1213</v>
      </c>
      <c r="C172" s="120"/>
      <c r="D172" s="133" t="s">
        <v>198</v>
      </c>
      <c r="E172" s="133" t="s">
        <v>218</v>
      </c>
      <c r="F172" s="133" t="s">
        <v>211</v>
      </c>
      <c r="G172" s="145">
        <f>G173+G174</f>
        <v>656.40000000000009</v>
      </c>
      <c r="H172" s="145"/>
    </row>
    <row r="173" spans="1:8">
      <c r="A173" s="134" t="s">
        <v>600</v>
      </c>
      <c r="B173" s="120" t="s">
        <v>1213</v>
      </c>
      <c r="C173" s="120" t="s">
        <v>423</v>
      </c>
      <c r="D173" s="133" t="s">
        <v>198</v>
      </c>
      <c r="E173" s="133" t="s">
        <v>218</v>
      </c>
      <c r="F173" s="133" t="s">
        <v>211</v>
      </c>
      <c r="G173" s="145">
        <f>'пр. 10 2022г'!G282</f>
        <v>504.14746000000002</v>
      </c>
      <c r="H173" s="145"/>
    </row>
    <row r="174" spans="1:8" ht="51">
      <c r="A174" s="137" t="s">
        <v>601</v>
      </c>
      <c r="B174" s="120" t="s">
        <v>1213</v>
      </c>
      <c r="C174" s="142" t="s">
        <v>425</v>
      </c>
      <c r="D174" s="133" t="s">
        <v>198</v>
      </c>
      <c r="E174" s="133" t="s">
        <v>218</v>
      </c>
      <c r="F174" s="133" t="s">
        <v>211</v>
      </c>
      <c r="G174" s="145">
        <f>'пр. 10 2022г'!G283</f>
        <v>152.25254000000001</v>
      </c>
      <c r="H174" s="145"/>
    </row>
    <row r="175" spans="1:8" ht="25.5">
      <c r="A175" s="68" t="s">
        <v>378</v>
      </c>
      <c r="B175" s="120" t="s">
        <v>1213</v>
      </c>
      <c r="C175" s="120"/>
      <c r="D175" s="133" t="s">
        <v>198</v>
      </c>
      <c r="E175" s="133" t="s">
        <v>218</v>
      </c>
      <c r="F175" s="133" t="s">
        <v>211</v>
      </c>
      <c r="G175" s="145">
        <f>G176+G177</f>
        <v>873.04990999999995</v>
      </c>
      <c r="H175" s="145"/>
    </row>
    <row r="176" spans="1:8">
      <c r="A176" s="134" t="s">
        <v>600</v>
      </c>
      <c r="B176" s="120" t="s">
        <v>1213</v>
      </c>
      <c r="C176" s="120" t="s">
        <v>423</v>
      </c>
      <c r="D176" s="133" t="s">
        <v>198</v>
      </c>
      <c r="E176" s="133" t="s">
        <v>218</v>
      </c>
      <c r="F176" s="133" t="s">
        <v>211</v>
      </c>
      <c r="G176" s="145">
        <f>'пр. 10 2022г'!G285</f>
        <v>670.54525000000001</v>
      </c>
      <c r="H176" s="145"/>
    </row>
    <row r="177" spans="1:8" ht="51">
      <c r="A177" s="137" t="s">
        <v>601</v>
      </c>
      <c r="B177" s="120" t="s">
        <v>1213</v>
      </c>
      <c r="C177" s="128" t="s">
        <v>425</v>
      </c>
      <c r="D177" s="133" t="s">
        <v>198</v>
      </c>
      <c r="E177" s="133" t="s">
        <v>218</v>
      </c>
      <c r="F177" s="133" t="s">
        <v>211</v>
      </c>
      <c r="G177" s="145">
        <f>'пр. 10 2022г'!G286</f>
        <v>202.50466</v>
      </c>
      <c r="H177" s="145"/>
    </row>
    <row r="178" spans="1:8">
      <c r="A178" s="134" t="s">
        <v>340</v>
      </c>
      <c r="B178" s="128" t="s">
        <v>525</v>
      </c>
      <c r="C178" s="128" t="s">
        <v>341</v>
      </c>
      <c r="D178" s="133" t="s">
        <v>198</v>
      </c>
      <c r="E178" s="133" t="s">
        <v>218</v>
      </c>
      <c r="F178" s="133" t="s">
        <v>213</v>
      </c>
      <c r="G178" s="145">
        <f>'пр. 10 2022г'!G291</f>
        <v>3895.7292699999998</v>
      </c>
      <c r="H178" s="145"/>
    </row>
    <row r="179" spans="1:8" ht="25.5">
      <c r="A179" s="68" t="s">
        <v>704</v>
      </c>
      <c r="B179" s="589" t="s">
        <v>706</v>
      </c>
      <c r="C179" s="128"/>
      <c r="D179" s="133" t="s">
        <v>198</v>
      </c>
      <c r="E179" s="133" t="s">
        <v>218</v>
      </c>
      <c r="F179" s="133" t="s">
        <v>213</v>
      </c>
      <c r="G179" s="145">
        <f>G180</f>
        <v>7745.2</v>
      </c>
      <c r="H179" s="145">
        <f t="shared" ref="H179" si="12">H180</f>
        <v>0</v>
      </c>
    </row>
    <row r="180" spans="1:8">
      <c r="A180" s="134" t="s">
        <v>338</v>
      </c>
      <c r="B180" s="590" t="s">
        <v>706</v>
      </c>
      <c r="C180" s="128" t="s">
        <v>409</v>
      </c>
      <c r="D180" s="133" t="s">
        <v>198</v>
      </c>
      <c r="E180" s="133" t="s">
        <v>218</v>
      </c>
      <c r="F180" s="133" t="s">
        <v>213</v>
      </c>
      <c r="G180" s="145">
        <f>'пр. 10 2022г'!G293</f>
        <v>7745.2</v>
      </c>
      <c r="H180" s="145"/>
    </row>
    <row r="181" spans="1:8" ht="38.25">
      <c r="A181" s="68" t="s">
        <v>716</v>
      </c>
      <c r="B181" s="589" t="s">
        <v>706</v>
      </c>
      <c r="C181" s="128"/>
      <c r="D181" s="133" t="s">
        <v>198</v>
      </c>
      <c r="E181" s="133" t="s">
        <v>218</v>
      </c>
      <c r="F181" s="133" t="s">
        <v>213</v>
      </c>
      <c r="G181" s="145">
        <f>G182</f>
        <v>3923.7822799999999</v>
      </c>
      <c r="H181" s="145">
        <f t="shared" ref="H181" si="13">H182</f>
        <v>0</v>
      </c>
    </row>
    <row r="182" spans="1:8">
      <c r="A182" s="134" t="s">
        <v>338</v>
      </c>
      <c r="B182" s="590" t="s">
        <v>706</v>
      </c>
      <c r="C182" s="128" t="s">
        <v>409</v>
      </c>
      <c r="D182" s="133" t="s">
        <v>198</v>
      </c>
      <c r="E182" s="133" t="s">
        <v>218</v>
      </c>
      <c r="F182" s="133" t="s">
        <v>213</v>
      </c>
      <c r="G182" s="145">
        <f>'пр. 10 2022г'!G295</f>
        <v>3923.7822799999999</v>
      </c>
      <c r="H182" s="145"/>
    </row>
    <row r="183" spans="1:8" ht="229.5">
      <c r="A183" s="45" t="s">
        <v>715</v>
      </c>
      <c r="B183" s="120" t="s">
        <v>1004</v>
      </c>
      <c r="C183" s="128"/>
      <c r="D183" s="133" t="s">
        <v>198</v>
      </c>
      <c r="E183" s="133" t="s">
        <v>215</v>
      </c>
      <c r="F183" s="133" t="s">
        <v>213</v>
      </c>
      <c r="G183" s="145">
        <f>G184</f>
        <v>228.5</v>
      </c>
      <c r="H183" s="145"/>
    </row>
    <row r="184" spans="1:8">
      <c r="A184" s="134" t="s">
        <v>340</v>
      </c>
      <c r="B184" s="120" t="s">
        <v>1004</v>
      </c>
      <c r="C184" s="168" t="s">
        <v>341</v>
      </c>
      <c r="D184" s="133" t="s">
        <v>198</v>
      </c>
      <c r="E184" s="133" t="s">
        <v>215</v>
      </c>
      <c r="F184" s="133" t="s">
        <v>213</v>
      </c>
      <c r="G184" s="145">
        <f>'пр. 10 2022г'!G243</f>
        <v>228.5</v>
      </c>
      <c r="H184" s="145"/>
    </row>
    <row r="185" spans="1:8" ht="38.25">
      <c r="A185" s="333" t="s">
        <v>734</v>
      </c>
      <c r="B185" s="229" t="s">
        <v>551</v>
      </c>
      <c r="C185" s="229"/>
      <c r="D185" s="229" t="s">
        <v>198</v>
      </c>
      <c r="E185" s="229"/>
      <c r="F185" s="229"/>
      <c r="G185" s="353">
        <f>G186+G194+G203+G199+G201</f>
        <v>2950.1302499999997</v>
      </c>
      <c r="H185" s="353">
        <f t="shared" ref="H185" si="14">H186+H194</f>
        <v>0</v>
      </c>
    </row>
    <row r="186" spans="1:8" ht="25.5">
      <c r="A186" s="333" t="s">
        <v>871</v>
      </c>
      <c r="B186" s="229" t="s">
        <v>551</v>
      </c>
      <c r="C186" s="229"/>
      <c r="D186" s="229" t="s">
        <v>198</v>
      </c>
      <c r="E186" s="229" t="s">
        <v>916</v>
      </c>
      <c r="F186" s="229" t="s">
        <v>917</v>
      </c>
      <c r="G186" s="353">
        <f>G187+G188+G189+G191</f>
        <v>1521.7</v>
      </c>
      <c r="H186" s="353">
        <f t="shared" ref="H186" si="15">H188+H197</f>
        <v>0</v>
      </c>
    </row>
    <row r="187" spans="1:8" ht="38.25">
      <c r="A187" s="138" t="s">
        <v>267</v>
      </c>
      <c r="B187" s="632" t="s">
        <v>510</v>
      </c>
      <c r="C187" s="521" t="s">
        <v>401</v>
      </c>
      <c r="D187" s="843" t="s">
        <v>198</v>
      </c>
      <c r="E187" s="843" t="s">
        <v>219</v>
      </c>
      <c r="F187" s="843" t="s">
        <v>220</v>
      </c>
      <c r="G187" s="522">
        <f>'пр. 10 2022г'!G156</f>
        <v>200</v>
      </c>
      <c r="H187" s="353"/>
    </row>
    <row r="188" spans="1:8" ht="63.75">
      <c r="A188" s="1" t="s">
        <v>1062</v>
      </c>
      <c r="B188" s="842" t="s">
        <v>510</v>
      </c>
      <c r="C188" s="842" t="s">
        <v>1061</v>
      </c>
      <c r="D188" s="843" t="s">
        <v>198</v>
      </c>
      <c r="E188" s="843" t="s">
        <v>219</v>
      </c>
      <c r="F188" s="843" t="s">
        <v>220</v>
      </c>
      <c r="G188" s="778">
        <f>'пр. 10 2022г'!G157</f>
        <v>1000</v>
      </c>
      <c r="H188" s="145"/>
    </row>
    <row r="189" spans="1:8" ht="38.25">
      <c r="A189" s="68" t="s">
        <v>362</v>
      </c>
      <c r="B189" s="142" t="s">
        <v>1205</v>
      </c>
      <c r="C189" s="844"/>
      <c r="D189" s="843" t="s">
        <v>198</v>
      </c>
      <c r="E189" s="843" t="s">
        <v>219</v>
      </c>
      <c r="F189" s="843" t="s">
        <v>220</v>
      </c>
      <c r="G189" s="778">
        <f>G190</f>
        <v>320</v>
      </c>
      <c r="H189" s="145"/>
    </row>
    <row r="190" spans="1:8" ht="76.5">
      <c r="A190" s="134" t="s">
        <v>722</v>
      </c>
      <c r="B190" s="142" t="s">
        <v>1205</v>
      </c>
      <c r="C190" s="520">
        <v>812</v>
      </c>
      <c r="D190" s="843" t="s">
        <v>198</v>
      </c>
      <c r="E190" s="843" t="s">
        <v>219</v>
      </c>
      <c r="F190" s="843" t="s">
        <v>220</v>
      </c>
      <c r="G190" s="778">
        <f>'пр. 10 2022г'!G159</f>
        <v>320</v>
      </c>
      <c r="H190" s="145"/>
    </row>
    <row r="191" spans="1:8" ht="51">
      <c r="A191" s="136" t="s">
        <v>543</v>
      </c>
      <c r="B191" s="129" t="s">
        <v>1206</v>
      </c>
      <c r="C191" s="845"/>
      <c r="D191" s="843" t="s">
        <v>198</v>
      </c>
      <c r="E191" s="843" t="s">
        <v>219</v>
      </c>
      <c r="F191" s="843" t="s">
        <v>220</v>
      </c>
      <c r="G191" s="778">
        <f>G192+G193</f>
        <v>1.7</v>
      </c>
      <c r="H191" s="145"/>
    </row>
    <row r="192" spans="1:8" ht="25.5">
      <c r="A192" s="135" t="s">
        <v>415</v>
      </c>
      <c r="B192" s="129" t="s">
        <v>1206</v>
      </c>
      <c r="C192" s="330">
        <v>121</v>
      </c>
      <c r="D192" s="843" t="s">
        <v>198</v>
      </c>
      <c r="E192" s="843" t="s">
        <v>219</v>
      </c>
      <c r="F192" s="843" t="s">
        <v>220</v>
      </c>
      <c r="G192" s="778">
        <f>'пр. 10 2022г'!G161</f>
        <v>1.30568</v>
      </c>
      <c r="H192" s="145"/>
    </row>
    <row r="193" spans="1:8" ht="51">
      <c r="A193" s="841" t="s">
        <v>416</v>
      </c>
      <c r="B193" s="129" t="s">
        <v>1206</v>
      </c>
      <c r="C193" s="330">
        <v>129</v>
      </c>
      <c r="D193" s="843" t="s">
        <v>198</v>
      </c>
      <c r="E193" s="843" t="s">
        <v>219</v>
      </c>
      <c r="F193" s="843" t="s">
        <v>220</v>
      </c>
      <c r="G193" s="778">
        <f>'пр. 10 2022г'!G162</f>
        <v>0.39432</v>
      </c>
      <c r="H193" s="145"/>
    </row>
    <row r="194" spans="1:8" ht="25.5">
      <c r="A194" s="846" t="s">
        <v>883</v>
      </c>
      <c r="B194" s="847" t="s">
        <v>854</v>
      </c>
      <c r="C194" s="368"/>
      <c r="D194" s="368" t="s">
        <v>198</v>
      </c>
      <c r="E194" s="769" t="s">
        <v>223</v>
      </c>
      <c r="F194" s="769" t="s">
        <v>213</v>
      </c>
      <c r="G194" s="619">
        <f>G197+G195</f>
        <v>476.8499999999998</v>
      </c>
      <c r="H194" s="145"/>
    </row>
    <row r="195" spans="1:8" ht="76.5">
      <c r="A195" s="606" t="s">
        <v>1050</v>
      </c>
      <c r="B195" s="607" t="s">
        <v>854</v>
      </c>
      <c r="C195" s="128"/>
      <c r="D195" s="133" t="s">
        <v>198</v>
      </c>
      <c r="E195" s="168" t="s">
        <v>223</v>
      </c>
      <c r="F195" s="168" t="s">
        <v>213</v>
      </c>
      <c r="G195" s="145">
        <f>G196</f>
        <v>0</v>
      </c>
      <c r="H195" s="145"/>
    </row>
    <row r="196" spans="1:8">
      <c r="A196" s="134" t="s">
        <v>399</v>
      </c>
      <c r="B196" s="607" t="s">
        <v>854</v>
      </c>
      <c r="C196" s="128" t="s">
        <v>410</v>
      </c>
      <c r="D196" s="133" t="s">
        <v>198</v>
      </c>
      <c r="E196" s="168" t="s">
        <v>223</v>
      </c>
      <c r="F196" s="168" t="s">
        <v>213</v>
      </c>
      <c r="G196" s="145">
        <f>'пр. 10 2022г'!G322</f>
        <v>0</v>
      </c>
      <c r="H196" s="145"/>
    </row>
    <row r="197" spans="1:8" ht="89.25">
      <c r="A197" s="606" t="s">
        <v>736</v>
      </c>
      <c r="B197" s="607" t="s">
        <v>854</v>
      </c>
      <c r="C197" s="128"/>
      <c r="D197" s="133" t="s">
        <v>198</v>
      </c>
      <c r="E197" s="168" t="s">
        <v>223</v>
      </c>
      <c r="F197" s="168" t="s">
        <v>213</v>
      </c>
      <c r="G197" s="145">
        <f>G198</f>
        <v>476.8499999999998</v>
      </c>
      <c r="H197" s="145"/>
    </row>
    <row r="198" spans="1:8">
      <c r="A198" s="134" t="s">
        <v>399</v>
      </c>
      <c r="B198" s="607" t="s">
        <v>854</v>
      </c>
      <c r="C198" s="168" t="s">
        <v>410</v>
      </c>
      <c r="D198" s="133" t="s">
        <v>198</v>
      </c>
      <c r="E198" s="168" t="s">
        <v>223</v>
      </c>
      <c r="F198" s="168" t="s">
        <v>213</v>
      </c>
      <c r="G198" s="145">
        <f>'пр. 10 2022г'!G324</f>
        <v>476.8499999999998</v>
      </c>
      <c r="H198" s="145"/>
    </row>
    <row r="199" spans="1:8" ht="25.5">
      <c r="A199" s="848" t="s">
        <v>1318</v>
      </c>
      <c r="B199" s="847" t="s">
        <v>1316</v>
      </c>
      <c r="C199" s="769"/>
      <c r="D199" s="368" t="s">
        <v>198</v>
      </c>
      <c r="E199" s="769" t="s">
        <v>223</v>
      </c>
      <c r="F199" s="769" t="s">
        <v>213</v>
      </c>
      <c r="G199" s="619">
        <f>G200</f>
        <v>167.09481</v>
      </c>
      <c r="H199" s="145"/>
    </row>
    <row r="200" spans="1:8">
      <c r="A200" s="134" t="s">
        <v>399</v>
      </c>
      <c r="B200" s="607" t="s">
        <v>1316</v>
      </c>
      <c r="C200" s="168" t="s">
        <v>410</v>
      </c>
      <c r="D200" s="133" t="s">
        <v>198</v>
      </c>
      <c r="E200" s="168" t="s">
        <v>223</v>
      </c>
      <c r="F200" s="168" t="s">
        <v>213</v>
      </c>
      <c r="G200" s="145">
        <f>'пр. 10 2022г'!G326</f>
        <v>167.09481</v>
      </c>
      <c r="H200" s="145"/>
    </row>
    <row r="201" spans="1:8" ht="25.5">
      <c r="A201" s="848" t="s">
        <v>1319</v>
      </c>
      <c r="B201" s="847" t="s">
        <v>1317</v>
      </c>
      <c r="C201" s="769"/>
      <c r="D201" s="368" t="s">
        <v>198</v>
      </c>
      <c r="E201" s="769" t="s">
        <v>223</v>
      </c>
      <c r="F201" s="769" t="s">
        <v>213</v>
      </c>
      <c r="G201" s="619">
        <f>G202</f>
        <v>684.48544000000004</v>
      </c>
      <c r="H201" s="145"/>
    </row>
    <row r="202" spans="1:8">
      <c r="A202" s="134" t="s">
        <v>399</v>
      </c>
      <c r="B202" s="607" t="s">
        <v>1317</v>
      </c>
      <c r="C202" s="168" t="s">
        <v>410</v>
      </c>
      <c r="D202" s="133" t="s">
        <v>198</v>
      </c>
      <c r="E202" s="168" t="s">
        <v>223</v>
      </c>
      <c r="F202" s="168" t="s">
        <v>213</v>
      </c>
      <c r="G202" s="145">
        <f>'пр. 10 2022г'!G328</f>
        <v>684.48544000000004</v>
      </c>
      <c r="H202" s="145"/>
    </row>
    <row r="203" spans="1:8" ht="25.5">
      <c r="A203" s="848" t="s">
        <v>1219</v>
      </c>
      <c r="B203" s="847" t="s">
        <v>1221</v>
      </c>
      <c r="C203" s="769"/>
      <c r="D203" s="368" t="s">
        <v>198</v>
      </c>
      <c r="E203" s="769" t="s">
        <v>216</v>
      </c>
      <c r="F203" s="769" t="s">
        <v>213</v>
      </c>
      <c r="G203" s="619">
        <f>G204</f>
        <v>100</v>
      </c>
      <c r="H203" s="145"/>
    </row>
    <row r="204" spans="1:8">
      <c r="A204" s="848" t="s">
        <v>1222</v>
      </c>
      <c r="B204" s="847" t="s">
        <v>1220</v>
      </c>
      <c r="C204" s="769"/>
      <c r="D204" s="368" t="s">
        <v>198</v>
      </c>
      <c r="E204" s="769" t="s">
        <v>216</v>
      </c>
      <c r="F204" s="769" t="s">
        <v>213</v>
      </c>
      <c r="G204" s="619">
        <f>G205</f>
        <v>100</v>
      </c>
      <c r="H204" s="145"/>
    </row>
    <row r="205" spans="1:8" ht="38.25">
      <c r="A205" s="138" t="s">
        <v>267</v>
      </c>
      <c r="B205" s="607" t="s">
        <v>1220</v>
      </c>
      <c r="C205" s="168" t="s">
        <v>401</v>
      </c>
      <c r="D205" s="133" t="s">
        <v>198</v>
      </c>
      <c r="E205" s="168" t="s">
        <v>216</v>
      </c>
      <c r="F205" s="168" t="s">
        <v>213</v>
      </c>
      <c r="G205" s="145">
        <f>'пр. 10 2022г'!G199</f>
        <v>100</v>
      </c>
      <c r="H205" s="145"/>
    </row>
    <row r="206" spans="1:8" ht="38.25">
      <c r="A206" s="139" t="s">
        <v>1228</v>
      </c>
      <c r="B206" s="130" t="s">
        <v>551</v>
      </c>
      <c r="C206" s="131"/>
      <c r="D206" s="131" t="s">
        <v>612</v>
      </c>
      <c r="E206" s="131" t="s">
        <v>219</v>
      </c>
      <c r="F206" s="131" t="s">
        <v>217</v>
      </c>
      <c r="G206" s="143">
        <f>G207</f>
        <v>8546.5329099999981</v>
      </c>
      <c r="H206" s="143">
        <f t="shared" ref="H206" si="16">H209+H210+H212</f>
        <v>0</v>
      </c>
    </row>
    <row r="207" spans="1:8" ht="63.75">
      <c r="A207" s="519" t="s">
        <v>863</v>
      </c>
      <c r="B207" s="646" t="s">
        <v>551</v>
      </c>
      <c r="C207" s="521"/>
      <c r="D207" s="632" t="s">
        <v>612</v>
      </c>
      <c r="E207" s="646"/>
      <c r="F207" s="646"/>
      <c r="G207" s="522">
        <f>G208+G209+G210+G212+G214+G216+G218</f>
        <v>8546.5329099999981</v>
      </c>
      <c r="H207" s="522">
        <f t="shared" ref="H207" si="17">H209+H210+H212</f>
        <v>0</v>
      </c>
    </row>
    <row r="208" spans="1:8" ht="31.5" customHeight="1">
      <c r="A208" s="328" t="s">
        <v>403</v>
      </c>
      <c r="B208" s="646" t="s">
        <v>1216</v>
      </c>
      <c r="C208" s="632" t="s">
        <v>1208</v>
      </c>
      <c r="D208" s="632" t="s">
        <v>198</v>
      </c>
      <c r="E208" s="646" t="s">
        <v>210</v>
      </c>
      <c r="F208" s="646" t="s">
        <v>219</v>
      </c>
      <c r="G208" s="391">
        <f>'пр. 10 2022г'!G95</f>
        <v>1895.088</v>
      </c>
      <c r="H208" s="522"/>
    </row>
    <row r="209" spans="1:10" ht="38.25">
      <c r="A209" s="251" t="s">
        <v>258</v>
      </c>
      <c r="B209" s="133" t="s">
        <v>515</v>
      </c>
      <c r="C209" s="133" t="s">
        <v>401</v>
      </c>
      <c r="D209" s="133" t="s">
        <v>612</v>
      </c>
      <c r="E209" s="132" t="s">
        <v>219</v>
      </c>
      <c r="F209" s="132" t="s">
        <v>217</v>
      </c>
      <c r="G209" s="145">
        <f>'пр. 10 2022г'!G555</f>
        <v>1535.6244300000001</v>
      </c>
      <c r="H209" s="145"/>
    </row>
    <row r="210" spans="1:10" ht="38.25">
      <c r="A210" s="594" t="s">
        <v>427</v>
      </c>
      <c r="B210" s="120" t="s">
        <v>666</v>
      </c>
      <c r="C210" s="133"/>
      <c r="D210" s="133" t="s">
        <v>612</v>
      </c>
      <c r="E210" s="132" t="s">
        <v>219</v>
      </c>
      <c r="F210" s="132" t="s">
        <v>217</v>
      </c>
      <c r="G210" s="145">
        <f>G211</f>
        <v>607.79999999999995</v>
      </c>
      <c r="H210" s="145"/>
    </row>
    <row r="211" spans="1:10" ht="38.25">
      <c r="A211" s="138" t="s">
        <v>267</v>
      </c>
      <c r="B211" s="120" t="s">
        <v>666</v>
      </c>
      <c r="C211" s="133" t="s">
        <v>401</v>
      </c>
      <c r="D211" s="133" t="s">
        <v>612</v>
      </c>
      <c r="E211" s="132" t="s">
        <v>219</v>
      </c>
      <c r="F211" s="132" t="s">
        <v>217</v>
      </c>
      <c r="G211" s="145">
        <f>'пр. 10 2022г'!G556</f>
        <v>607.79999999999995</v>
      </c>
      <c r="H211" s="145"/>
    </row>
    <row r="212" spans="1:10" ht="51">
      <c r="A212" s="496" t="s">
        <v>559</v>
      </c>
      <c r="B212" s="142" t="s">
        <v>558</v>
      </c>
      <c r="C212" s="132"/>
      <c r="D212" s="133" t="s">
        <v>612</v>
      </c>
      <c r="E212" s="132" t="s">
        <v>219</v>
      </c>
      <c r="F212" s="132" t="s">
        <v>217</v>
      </c>
      <c r="G212" s="145">
        <f>G213</f>
        <v>151.94999999999999</v>
      </c>
      <c r="H212" s="145"/>
    </row>
    <row r="213" spans="1:10" ht="38.25">
      <c r="A213" s="251" t="s">
        <v>258</v>
      </c>
      <c r="B213" s="120" t="s">
        <v>558</v>
      </c>
      <c r="C213" s="133" t="s">
        <v>401</v>
      </c>
      <c r="D213" s="133" t="s">
        <v>612</v>
      </c>
      <c r="E213" s="132" t="s">
        <v>219</v>
      </c>
      <c r="F213" s="132" t="s">
        <v>217</v>
      </c>
      <c r="G213" s="145">
        <f>'пр. 10 2022г'!G559</f>
        <v>151.94999999999999</v>
      </c>
      <c r="H213" s="145"/>
    </row>
    <row r="214" spans="1:10">
      <c r="A214" s="134" t="s">
        <v>1064</v>
      </c>
      <c r="B214" s="120" t="s">
        <v>1067</v>
      </c>
      <c r="C214" s="120"/>
      <c r="D214" s="133" t="s">
        <v>612</v>
      </c>
      <c r="E214" s="132" t="s">
        <v>219</v>
      </c>
      <c r="F214" s="132" t="s">
        <v>217</v>
      </c>
      <c r="G214" s="145">
        <f>G215</f>
        <v>3536.9</v>
      </c>
      <c r="H214" s="145"/>
    </row>
    <row r="215" spans="1:10" ht="38.25">
      <c r="A215" s="251" t="s">
        <v>258</v>
      </c>
      <c r="B215" s="120" t="s">
        <v>1067</v>
      </c>
      <c r="C215" s="133" t="s">
        <v>401</v>
      </c>
      <c r="D215" s="133" t="s">
        <v>612</v>
      </c>
      <c r="E215" s="132" t="s">
        <v>219</v>
      </c>
      <c r="F215" s="132" t="s">
        <v>217</v>
      </c>
      <c r="G215" s="145">
        <f>'пр. 10 2022г'!G561</f>
        <v>3536.9</v>
      </c>
      <c r="H215" s="145"/>
    </row>
    <row r="216" spans="1:10" ht="25.5">
      <c r="A216" s="138" t="s">
        <v>1066</v>
      </c>
      <c r="B216" s="120" t="s">
        <v>1067</v>
      </c>
      <c r="C216" s="133"/>
      <c r="D216" s="133" t="s">
        <v>612</v>
      </c>
      <c r="E216" s="132" t="s">
        <v>219</v>
      </c>
      <c r="F216" s="132" t="s">
        <v>217</v>
      </c>
      <c r="G216" s="145">
        <f>G217</f>
        <v>10.642429999999999</v>
      </c>
      <c r="H216" s="145"/>
    </row>
    <row r="217" spans="1:10" ht="38.25">
      <c r="A217" s="251" t="s">
        <v>258</v>
      </c>
      <c r="B217" s="120" t="s">
        <v>1067</v>
      </c>
      <c r="C217" s="133" t="s">
        <v>401</v>
      </c>
      <c r="D217" s="133" t="s">
        <v>612</v>
      </c>
      <c r="E217" s="132" t="s">
        <v>219</v>
      </c>
      <c r="F217" s="132" t="s">
        <v>217</v>
      </c>
      <c r="G217" s="145">
        <f>'пр. 10 2022г'!G563</f>
        <v>10.642429999999999</v>
      </c>
      <c r="H217" s="145"/>
    </row>
    <row r="218" spans="1:10" ht="51">
      <c r="A218" s="849" t="s">
        <v>420</v>
      </c>
      <c r="B218" s="128" t="s">
        <v>1215</v>
      </c>
      <c r="C218" s="133"/>
      <c r="D218" s="133"/>
      <c r="E218" s="132" t="s">
        <v>220</v>
      </c>
      <c r="F218" s="132" t="s">
        <v>220</v>
      </c>
      <c r="G218" s="145">
        <f>G219+G220+G221+G222</f>
        <v>808.52804999999989</v>
      </c>
      <c r="H218" s="145"/>
    </row>
    <row r="219" spans="1:10" ht="38.25">
      <c r="A219" s="138" t="s">
        <v>267</v>
      </c>
      <c r="B219" s="128" t="s">
        <v>1215</v>
      </c>
      <c r="C219" s="133" t="s">
        <v>401</v>
      </c>
      <c r="D219" s="133" t="s">
        <v>1229</v>
      </c>
      <c r="E219" s="132" t="s">
        <v>220</v>
      </c>
      <c r="F219" s="132" t="s">
        <v>220</v>
      </c>
      <c r="G219" s="145">
        <f>'пр. 10 2022г'!G193+'пр. 10 2022г'!G583</f>
        <v>355.93225999999999</v>
      </c>
      <c r="H219" s="145"/>
    </row>
    <row r="220" spans="1:10">
      <c r="A220" s="4" t="s">
        <v>1026</v>
      </c>
      <c r="B220" s="128" t="s">
        <v>1215</v>
      </c>
      <c r="C220" s="133" t="s">
        <v>1025</v>
      </c>
      <c r="D220" s="133" t="s">
        <v>612</v>
      </c>
      <c r="E220" s="132" t="s">
        <v>220</v>
      </c>
      <c r="F220" s="132" t="s">
        <v>220</v>
      </c>
      <c r="G220" s="145">
        <f>'пр. 10 2022г'!G584</f>
        <v>280.49878999999999</v>
      </c>
      <c r="H220" s="145"/>
    </row>
    <row r="221" spans="1:10" ht="25.5">
      <c r="A221" s="134" t="s">
        <v>403</v>
      </c>
      <c r="B221" s="120" t="s">
        <v>1216</v>
      </c>
      <c r="C221" s="133" t="s">
        <v>1208</v>
      </c>
      <c r="D221" s="133" t="s">
        <v>612</v>
      </c>
      <c r="E221" s="132" t="s">
        <v>220</v>
      </c>
      <c r="F221" s="132" t="s">
        <v>220</v>
      </c>
      <c r="G221" s="145">
        <f>'пр. 10 2022г'!G585</f>
        <v>5.43</v>
      </c>
      <c r="H221" s="145"/>
    </row>
    <row r="222" spans="1:10">
      <c r="A222" s="134" t="s">
        <v>268</v>
      </c>
      <c r="B222" s="120" t="s">
        <v>1230</v>
      </c>
      <c r="C222" s="133" t="s">
        <v>1209</v>
      </c>
      <c r="D222" s="133" t="s">
        <v>612</v>
      </c>
      <c r="E222" s="132" t="s">
        <v>220</v>
      </c>
      <c r="F222" s="132" t="s">
        <v>220</v>
      </c>
      <c r="G222" s="145">
        <f>'пр. 10 2022г'!G586</f>
        <v>166.667</v>
      </c>
      <c r="H222" s="145"/>
    </row>
    <row r="223" spans="1:10" ht="38.25">
      <c r="A223" s="473" t="s">
        <v>1274</v>
      </c>
      <c r="B223" s="211" t="s">
        <v>727</v>
      </c>
      <c r="C223" s="229"/>
      <c r="D223" s="229" t="s">
        <v>612</v>
      </c>
      <c r="E223" s="557"/>
      <c r="F223" s="557"/>
      <c r="G223" s="353">
        <f>G224</f>
        <v>198985.08889000001</v>
      </c>
      <c r="H223" s="353" t="e">
        <f>H225+H226+H229+H231+H233+#REF!+#REF!</f>
        <v>#REF!</v>
      </c>
      <c r="I223">
        <v>2384</v>
      </c>
      <c r="J223" s="604" t="e">
        <f>I223-#REF!</f>
        <v>#REF!</v>
      </c>
    </row>
    <row r="224" spans="1:10" ht="51">
      <c r="A224" s="209" t="s">
        <v>862</v>
      </c>
      <c r="B224" s="659" t="s">
        <v>727</v>
      </c>
      <c r="C224" s="521"/>
      <c r="D224" s="521" t="s">
        <v>612</v>
      </c>
      <c r="E224" s="569"/>
      <c r="F224" s="569"/>
      <c r="G224" s="522">
        <f>G225+G226+G229+G231+G233+G235+G237</f>
        <v>198985.08889000001</v>
      </c>
      <c r="H224" s="522" t="e">
        <f>H225+H226+H229+H231+H233+#REF!+#REF!+H237+H238</f>
        <v>#REF!</v>
      </c>
      <c r="J224" s="604"/>
    </row>
    <row r="225" spans="1:8" ht="38.25">
      <c r="A225" s="138" t="s">
        <v>267</v>
      </c>
      <c r="B225" s="642" t="s">
        <v>577</v>
      </c>
      <c r="C225" s="120" t="s">
        <v>401</v>
      </c>
      <c r="D225" s="133" t="s">
        <v>612</v>
      </c>
      <c r="E225" s="132" t="s">
        <v>219</v>
      </c>
      <c r="F225" s="132" t="s">
        <v>217</v>
      </c>
      <c r="G225" s="145">
        <f>'пр. 10 2022г'!G548</f>
        <v>6680</v>
      </c>
      <c r="H225" s="145"/>
    </row>
    <row r="226" spans="1:8" ht="75.75" customHeight="1">
      <c r="A226" s="594" t="s">
        <v>99</v>
      </c>
      <c r="B226" s="120" t="s">
        <v>752</v>
      </c>
      <c r="C226" s="120"/>
      <c r="D226" s="133" t="s">
        <v>612</v>
      </c>
      <c r="E226" s="132" t="s">
        <v>219</v>
      </c>
      <c r="F226" s="132" t="s">
        <v>217</v>
      </c>
      <c r="G226" s="145">
        <f>G228</f>
        <v>7428.5</v>
      </c>
      <c r="H226" s="145" t="e">
        <f>H228+#REF!+#REF!+#REF!+#REF!</f>
        <v>#REF!</v>
      </c>
    </row>
    <row r="227" spans="1:8" ht="38.25" hidden="1">
      <c r="A227" s="138" t="s">
        <v>267</v>
      </c>
      <c r="B227" s="120" t="s">
        <v>752</v>
      </c>
      <c r="C227" s="120" t="s">
        <v>401</v>
      </c>
      <c r="D227" s="133" t="s">
        <v>612</v>
      </c>
      <c r="E227" s="132" t="s">
        <v>219</v>
      </c>
      <c r="F227" s="132" t="s">
        <v>217</v>
      </c>
      <c r="G227" s="145">
        <f>'пр. 10 2022г'!G550</f>
        <v>7428.5</v>
      </c>
      <c r="H227" s="145"/>
    </row>
    <row r="228" spans="1:8" ht="38.25">
      <c r="A228" s="138" t="s">
        <v>267</v>
      </c>
      <c r="B228" s="120" t="s">
        <v>752</v>
      </c>
      <c r="C228" s="128" t="s">
        <v>401</v>
      </c>
      <c r="D228" s="133" t="s">
        <v>198</v>
      </c>
      <c r="E228" s="132" t="s">
        <v>219</v>
      </c>
      <c r="F228" s="132" t="s">
        <v>217</v>
      </c>
      <c r="G228" s="145">
        <f>'пр. 10 2022г'!G550</f>
        <v>7428.5</v>
      </c>
      <c r="H228" s="145"/>
    </row>
    <row r="229" spans="1:8" ht="89.25">
      <c r="A229" s="594" t="s">
        <v>557</v>
      </c>
      <c r="B229" s="120" t="s">
        <v>752</v>
      </c>
      <c r="C229" s="120"/>
      <c r="D229" s="133" t="s">
        <v>612</v>
      </c>
      <c r="E229" s="132" t="s">
        <v>219</v>
      </c>
      <c r="F229" s="132" t="s">
        <v>217</v>
      </c>
      <c r="G229" s="145">
        <f>G230</f>
        <v>800</v>
      </c>
      <c r="H229" s="145" t="e">
        <f>#REF!</f>
        <v>#REF!</v>
      </c>
    </row>
    <row r="230" spans="1:8" ht="45.75" customHeight="1">
      <c r="A230" s="138" t="s">
        <v>267</v>
      </c>
      <c r="B230" s="120" t="s">
        <v>752</v>
      </c>
      <c r="C230" s="128" t="s">
        <v>401</v>
      </c>
      <c r="D230" s="133" t="s">
        <v>198</v>
      </c>
      <c r="E230" s="132" t="s">
        <v>219</v>
      </c>
      <c r="F230" s="132" t="s">
        <v>217</v>
      </c>
      <c r="G230" s="145">
        <f>'пр. 10 2022г'!G552</f>
        <v>800</v>
      </c>
      <c r="H230" s="145"/>
    </row>
    <row r="231" spans="1:8" ht="63.75">
      <c r="A231" s="134" t="s">
        <v>733</v>
      </c>
      <c r="B231" s="120" t="s">
        <v>753</v>
      </c>
      <c r="C231" s="120"/>
      <c r="D231" s="133" t="s">
        <v>612</v>
      </c>
      <c r="E231" s="132" t="s">
        <v>220</v>
      </c>
      <c r="F231" s="132" t="s">
        <v>211</v>
      </c>
      <c r="G231" s="145">
        <f>G232</f>
        <v>9989</v>
      </c>
      <c r="H231" s="145">
        <f t="shared" ref="H231" si="18">H232</f>
        <v>0</v>
      </c>
    </row>
    <row r="232" spans="1:8" ht="38.25">
      <c r="A232" s="138" t="s">
        <v>267</v>
      </c>
      <c r="B232" s="120" t="s">
        <v>753</v>
      </c>
      <c r="C232" s="120" t="s">
        <v>401</v>
      </c>
      <c r="D232" s="133" t="s">
        <v>612</v>
      </c>
      <c r="E232" s="132" t="s">
        <v>220</v>
      </c>
      <c r="F232" s="132" t="s">
        <v>211</v>
      </c>
      <c r="G232" s="145">
        <f>'пр. 10 2022г'!G569</f>
        <v>9989</v>
      </c>
      <c r="H232" s="145"/>
    </row>
    <row r="233" spans="1:8" ht="76.5">
      <c r="A233" s="138" t="s">
        <v>574</v>
      </c>
      <c r="B233" s="120" t="s">
        <v>753</v>
      </c>
      <c r="C233" s="120"/>
      <c r="D233" s="133" t="s">
        <v>612</v>
      </c>
      <c r="E233" s="132" t="s">
        <v>220</v>
      </c>
      <c r="F233" s="132" t="s">
        <v>211</v>
      </c>
      <c r="G233" s="145">
        <f>G234</f>
        <v>1109.8888899999999</v>
      </c>
      <c r="H233" s="145">
        <f t="shared" ref="H233" si="19">H234</f>
        <v>0</v>
      </c>
    </row>
    <row r="234" spans="1:8" ht="38.25">
      <c r="A234" s="138" t="s">
        <v>267</v>
      </c>
      <c r="B234" s="120" t="s">
        <v>753</v>
      </c>
      <c r="C234" s="120" t="s">
        <v>401</v>
      </c>
      <c r="D234" s="133" t="s">
        <v>612</v>
      </c>
      <c r="E234" s="132" t="s">
        <v>220</v>
      </c>
      <c r="F234" s="132" t="s">
        <v>211</v>
      </c>
      <c r="G234" s="145">
        <f>'пр. 10 2022г'!G571</f>
        <v>1109.8888899999999</v>
      </c>
      <c r="H234" s="145"/>
    </row>
    <row r="235" spans="1:8" ht="38.25">
      <c r="A235" s="134" t="s">
        <v>764</v>
      </c>
      <c r="B235" s="128" t="s">
        <v>769</v>
      </c>
      <c r="C235" s="120"/>
      <c r="D235" s="133" t="s">
        <v>612</v>
      </c>
      <c r="E235" s="132" t="s">
        <v>212</v>
      </c>
      <c r="F235" s="132" t="s">
        <v>210</v>
      </c>
      <c r="G235" s="145">
        <f>G236</f>
        <v>151377.70000000001</v>
      </c>
      <c r="H235" s="145"/>
    </row>
    <row r="236" spans="1:8">
      <c r="A236" s="138" t="s">
        <v>768</v>
      </c>
      <c r="B236" s="128" t="s">
        <v>769</v>
      </c>
      <c r="C236" s="851">
        <v>414</v>
      </c>
      <c r="D236" s="133" t="s">
        <v>612</v>
      </c>
      <c r="E236" s="132" t="s">
        <v>212</v>
      </c>
      <c r="F236" s="132" t="s">
        <v>210</v>
      </c>
      <c r="G236" s="145">
        <f>'пр. 10 2022г'!G596</f>
        <v>151377.70000000001</v>
      </c>
      <c r="H236" s="145"/>
    </row>
    <row r="237" spans="1:8" ht="25.5">
      <c r="A237" s="135" t="s">
        <v>1014</v>
      </c>
      <c r="B237" s="120" t="s">
        <v>709</v>
      </c>
      <c r="C237" s="120"/>
      <c r="D237" s="520">
        <v>937</v>
      </c>
      <c r="E237" s="120" t="s">
        <v>220</v>
      </c>
      <c r="F237" s="120" t="s">
        <v>220</v>
      </c>
      <c r="G237" s="145">
        <f>G238</f>
        <v>21600</v>
      </c>
      <c r="H237" s="145"/>
    </row>
    <row r="238" spans="1:8">
      <c r="A238" s="138" t="s">
        <v>768</v>
      </c>
      <c r="B238" s="120" t="s">
        <v>709</v>
      </c>
      <c r="C238" s="851">
        <v>414</v>
      </c>
      <c r="D238" s="520">
        <v>937</v>
      </c>
      <c r="E238" s="120" t="s">
        <v>220</v>
      </c>
      <c r="F238" s="120" t="s">
        <v>220</v>
      </c>
      <c r="G238" s="145">
        <f>'пр. 10 2022г'!G590</f>
        <v>21600</v>
      </c>
      <c r="H238" s="145"/>
    </row>
    <row r="239" spans="1:8" ht="38.25">
      <c r="A239" s="141" t="s">
        <v>692</v>
      </c>
      <c r="B239" s="131" t="s">
        <v>840</v>
      </c>
      <c r="C239" s="131"/>
      <c r="D239" s="131" t="s">
        <v>1056</v>
      </c>
      <c r="E239" s="229"/>
      <c r="F239" s="229"/>
      <c r="G239" s="353">
        <f>G240+G243</f>
        <v>30611.894</v>
      </c>
      <c r="H239" s="353" t="e">
        <f>H240+H243</f>
        <v>#REF!</v>
      </c>
    </row>
    <row r="240" spans="1:8" ht="25.5">
      <c r="A240" s="519" t="s">
        <v>868</v>
      </c>
      <c r="B240" s="521" t="s">
        <v>884</v>
      </c>
      <c r="C240" s="521"/>
      <c r="D240" s="120" t="s">
        <v>195</v>
      </c>
      <c r="E240" s="128" t="s">
        <v>210</v>
      </c>
      <c r="F240" s="128" t="s">
        <v>216</v>
      </c>
      <c r="G240" s="522">
        <f>G241+G242</f>
        <v>1015.5940000000001</v>
      </c>
      <c r="H240" s="522" t="e">
        <f t="shared" ref="H240" si="20">H241+H242</f>
        <v>#REF!</v>
      </c>
    </row>
    <row r="241" spans="1:10" ht="25.5">
      <c r="A241" s="218" t="s">
        <v>406</v>
      </c>
      <c r="B241" s="128" t="s">
        <v>843</v>
      </c>
      <c r="C241" s="632" t="s">
        <v>407</v>
      </c>
      <c r="D241" s="120" t="s">
        <v>195</v>
      </c>
      <c r="E241" s="128" t="s">
        <v>210</v>
      </c>
      <c r="F241" s="128" t="s">
        <v>216</v>
      </c>
      <c r="G241" s="391">
        <f>'пр. 10 2022г'!G53</f>
        <v>759.7</v>
      </c>
      <c r="H241" s="391"/>
    </row>
    <row r="242" spans="1:10" ht="38.25">
      <c r="A242" s="138" t="s">
        <v>267</v>
      </c>
      <c r="B242" s="128" t="s">
        <v>843</v>
      </c>
      <c r="C242" s="347">
        <v>244</v>
      </c>
      <c r="D242" s="120" t="s">
        <v>195</v>
      </c>
      <c r="E242" s="128" t="s">
        <v>210</v>
      </c>
      <c r="F242" s="128" t="s">
        <v>216</v>
      </c>
      <c r="G242" s="346">
        <f>'пр. 10 2022г'!G54</f>
        <v>255.89400000000001</v>
      </c>
      <c r="H242" s="346" t="e">
        <f>#REF!+#REF!</f>
        <v>#REF!</v>
      </c>
    </row>
    <row r="243" spans="1:10" ht="25.5">
      <c r="A243" s="519" t="s">
        <v>869</v>
      </c>
      <c r="B243" s="632" t="s">
        <v>846</v>
      </c>
      <c r="C243" s="347"/>
      <c r="D243" s="120" t="s">
        <v>1056</v>
      </c>
      <c r="E243" s="128" t="s">
        <v>223</v>
      </c>
      <c r="F243" s="128" t="s">
        <v>490</v>
      </c>
      <c r="G243" s="346">
        <f>G245+G246</f>
        <v>29596.3</v>
      </c>
      <c r="H243" s="346" t="e">
        <f>H245+H246+#REF!+#REF!</f>
        <v>#REF!</v>
      </c>
    </row>
    <row r="244" spans="1:10" ht="25.5">
      <c r="A244" s="135" t="s">
        <v>398</v>
      </c>
      <c r="B244" s="632" t="s">
        <v>845</v>
      </c>
      <c r="C244" s="128"/>
      <c r="D244" s="128" t="s">
        <v>195</v>
      </c>
      <c r="E244" s="128" t="s">
        <v>223</v>
      </c>
      <c r="F244" s="128" t="s">
        <v>210</v>
      </c>
      <c r="G244" s="144">
        <f>G245</f>
        <v>96.3</v>
      </c>
      <c r="H244" s="144"/>
    </row>
    <row r="245" spans="1:10" s="69" customFormat="1">
      <c r="A245" s="134" t="s">
        <v>259</v>
      </c>
      <c r="B245" s="632" t="s">
        <v>845</v>
      </c>
      <c r="C245" s="133" t="s">
        <v>51</v>
      </c>
      <c r="D245" s="133" t="s">
        <v>195</v>
      </c>
      <c r="E245" s="133" t="s">
        <v>223</v>
      </c>
      <c r="F245" s="133" t="s">
        <v>210</v>
      </c>
      <c r="G245" s="145">
        <f>'пр. 10 2022г'!G63</f>
        <v>96.3</v>
      </c>
      <c r="H245" s="145"/>
    </row>
    <row r="246" spans="1:10" ht="38.25">
      <c r="A246" s="519" t="s">
        <v>841</v>
      </c>
      <c r="B246" s="632" t="s">
        <v>844</v>
      </c>
      <c r="C246" s="133"/>
      <c r="D246" s="133" t="s">
        <v>1056</v>
      </c>
      <c r="E246" s="133" t="s">
        <v>223</v>
      </c>
      <c r="F246" s="133" t="s">
        <v>213</v>
      </c>
      <c r="G246" s="145">
        <f>G247</f>
        <v>29500</v>
      </c>
      <c r="H246" s="394"/>
    </row>
    <row r="247" spans="1:10">
      <c r="A247" s="134" t="s">
        <v>399</v>
      </c>
      <c r="B247" s="632" t="s">
        <v>844</v>
      </c>
      <c r="C247" s="133" t="s">
        <v>410</v>
      </c>
      <c r="D247" s="133" t="s">
        <v>1056</v>
      </c>
      <c r="E247" s="133" t="s">
        <v>223</v>
      </c>
      <c r="F247" s="133" t="s">
        <v>213</v>
      </c>
      <c r="G247" s="145">
        <f>'пр. 10 2022г'!G68+'пр. 10 2022г'!G333</f>
        <v>29500</v>
      </c>
      <c r="H247" s="394"/>
    </row>
    <row r="248" spans="1:10" ht="38.25">
      <c r="A248" s="473" t="s">
        <v>693</v>
      </c>
      <c r="B248" s="229" t="s">
        <v>800</v>
      </c>
      <c r="C248" s="229"/>
      <c r="D248" s="229" t="s">
        <v>112</v>
      </c>
      <c r="E248" s="229"/>
      <c r="F248" s="229"/>
      <c r="G248" s="353">
        <f>G249+G268+G308+G329+G364+G367+G345+G352</f>
        <v>764387.59380999999</v>
      </c>
      <c r="H248" s="353" t="e">
        <f>H249+H268+H308+H329+H364+H367+H345+H352</f>
        <v>#REF!</v>
      </c>
      <c r="I248" s="734" t="e">
        <f>#REF!-G248</f>
        <v>#REF!</v>
      </c>
      <c r="J248" s="599" t="e">
        <f>G248-#REF!</f>
        <v>#REF!</v>
      </c>
    </row>
    <row r="249" spans="1:10" ht="25.5">
      <c r="A249" s="350" t="s">
        <v>447</v>
      </c>
      <c r="B249" s="645" t="s">
        <v>801</v>
      </c>
      <c r="C249" s="348"/>
      <c r="D249" s="348" t="s">
        <v>112</v>
      </c>
      <c r="E249" s="348" t="s">
        <v>907</v>
      </c>
      <c r="F249" s="348" t="s">
        <v>908</v>
      </c>
      <c r="G249" s="349">
        <f>G250</f>
        <v>129596.32326</v>
      </c>
      <c r="H249" s="349">
        <f t="shared" ref="H249" si="21">H250</f>
        <v>0</v>
      </c>
      <c r="I249" s="599" t="e">
        <f>#REF!-#REF!</f>
        <v>#REF!</v>
      </c>
    </row>
    <row r="250" spans="1:10" ht="51">
      <c r="A250" s="647" t="s">
        <v>802</v>
      </c>
      <c r="B250" s="646" t="s">
        <v>803</v>
      </c>
      <c r="C250" s="348"/>
      <c r="D250" s="348" t="s">
        <v>112</v>
      </c>
      <c r="E250" s="348" t="s">
        <v>907</v>
      </c>
      <c r="F250" s="348" t="s">
        <v>908</v>
      </c>
      <c r="G250" s="349">
        <f>G251+G254+G260+G266+G257+G262+G264</f>
        <v>129596.32326</v>
      </c>
      <c r="H250" s="349">
        <f t="shared" ref="H250" si="22">H251+H254+H260+H266+H257+H262</f>
        <v>0</v>
      </c>
    </row>
    <row r="251" spans="1:10" ht="25.5">
      <c r="A251" s="136" t="s">
        <v>383</v>
      </c>
      <c r="B251" s="128" t="s">
        <v>804</v>
      </c>
      <c r="C251" s="128"/>
      <c r="D251" s="128" t="s">
        <v>112</v>
      </c>
      <c r="E251" s="128" t="s">
        <v>212</v>
      </c>
      <c r="F251" s="128" t="s">
        <v>210</v>
      </c>
      <c r="G251" s="144">
        <f>G252+G253</f>
        <v>48496.094259999998</v>
      </c>
      <c r="H251" s="144">
        <f t="shared" ref="H251" si="23">H252+H253</f>
        <v>0</v>
      </c>
    </row>
    <row r="252" spans="1:10">
      <c r="A252" s="134" t="s">
        <v>261</v>
      </c>
      <c r="B252" s="128" t="s">
        <v>804</v>
      </c>
      <c r="C252" s="128" t="s">
        <v>408</v>
      </c>
      <c r="D252" s="128" t="s">
        <v>112</v>
      </c>
      <c r="E252" s="128" t="s">
        <v>212</v>
      </c>
      <c r="F252" s="128" t="s">
        <v>210</v>
      </c>
      <c r="G252" s="144">
        <f>'пр. 10 2022г'!G344</f>
        <v>37783.059069999996</v>
      </c>
      <c r="H252" s="144"/>
    </row>
    <row r="253" spans="1:10">
      <c r="A253" s="134" t="s">
        <v>338</v>
      </c>
      <c r="B253" s="128" t="s">
        <v>804</v>
      </c>
      <c r="C253" s="128" t="s">
        <v>409</v>
      </c>
      <c r="D253" s="128" t="s">
        <v>112</v>
      </c>
      <c r="E253" s="128" t="s">
        <v>212</v>
      </c>
      <c r="F253" s="128" t="s">
        <v>210</v>
      </c>
      <c r="G253" s="144">
        <f>'пр. 10 2022г'!G345</f>
        <v>10713.035189999999</v>
      </c>
      <c r="H253" s="144"/>
    </row>
    <row r="254" spans="1:10" ht="25.5">
      <c r="A254" s="136" t="s">
        <v>346</v>
      </c>
      <c r="B254" s="129" t="s">
        <v>805</v>
      </c>
      <c r="C254" s="345"/>
      <c r="D254" s="128" t="s">
        <v>112</v>
      </c>
      <c r="E254" s="128" t="s">
        <v>212</v>
      </c>
      <c r="F254" s="128" t="s">
        <v>210</v>
      </c>
      <c r="G254" s="144">
        <f>G255+G256</f>
        <v>74140.413</v>
      </c>
      <c r="H254" s="144">
        <f t="shared" ref="H254" si="24">H255+H256</f>
        <v>0</v>
      </c>
      <c r="I254" s="215"/>
    </row>
    <row r="255" spans="1:10">
      <c r="A255" s="135" t="s">
        <v>263</v>
      </c>
      <c r="B255" s="129" t="s">
        <v>805</v>
      </c>
      <c r="C255" s="128" t="s">
        <v>260</v>
      </c>
      <c r="D255" s="128" t="s">
        <v>112</v>
      </c>
      <c r="E255" s="128" t="s">
        <v>212</v>
      </c>
      <c r="F255" s="128" t="s">
        <v>210</v>
      </c>
      <c r="G255" s="144">
        <f>'пр. 10 2022г'!G347</f>
        <v>43166.832000000002</v>
      </c>
      <c r="H255" s="144"/>
      <c r="I255" s="150"/>
    </row>
    <row r="256" spans="1:10">
      <c r="A256" s="135" t="s">
        <v>340</v>
      </c>
      <c r="B256" s="129" t="s">
        <v>805</v>
      </c>
      <c r="C256" s="128" t="s">
        <v>341</v>
      </c>
      <c r="D256" s="128" t="s">
        <v>112</v>
      </c>
      <c r="E256" s="128" t="s">
        <v>212</v>
      </c>
      <c r="F256" s="128" t="s">
        <v>210</v>
      </c>
      <c r="G256" s="144">
        <f>'пр. 10 2022г'!G348</f>
        <v>30973.580999999998</v>
      </c>
      <c r="H256" s="144"/>
      <c r="I256" s="150"/>
    </row>
    <row r="257" spans="1:9" ht="76.5">
      <c r="A257" s="594" t="s">
        <v>789</v>
      </c>
      <c r="B257" s="128" t="s">
        <v>984</v>
      </c>
      <c r="C257" s="345"/>
      <c r="D257" s="128" t="s">
        <v>112</v>
      </c>
      <c r="E257" s="128" t="s">
        <v>212</v>
      </c>
      <c r="F257" s="128" t="s">
        <v>210</v>
      </c>
      <c r="G257" s="144">
        <f>G258+G259</f>
        <v>4059.8159999999998</v>
      </c>
      <c r="H257" s="144">
        <f t="shared" ref="H257" si="25">H258+H259</f>
        <v>0</v>
      </c>
      <c r="I257" s="150"/>
    </row>
    <row r="258" spans="1:9">
      <c r="A258" s="135" t="s">
        <v>263</v>
      </c>
      <c r="B258" s="128" t="s">
        <v>984</v>
      </c>
      <c r="C258" s="128" t="s">
        <v>260</v>
      </c>
      <c r="D258" s="128" t="s">
        <v>112</v>
      </c>
      <c r="E258" s="128" t="s">
        <v>212</v>
      </c>
      <c r="F258" s="128" t="s">
        <v>210</v>
      </c>
      <c r="G258" s="144">
        <f>'пр. 10 2022г'!G350</f>
        <v>1875.6</v>
      </c>
      <c r="H258" s="144"/>
      <c r="I258" s="150"/>
    </row>
    <row r="259" spans="1:9">
      <c r="A259" s="135" t="s">
        <v>340</v>
      </c>
      <c r="B259" s="128" t="s">
        <v>984</v>
      </c>
      <c r="C259" s="128" t="s">
        <v>341</v>
      </c>
      <c r="D259" s="128" t="s">
        <v>112</v>
      </c>
      <c r="E259" s="128" t="s">
        <v>212</v>
      </c>
      <c r="F259" s="128" t="s">
        <v>210</v>
      </c>
      <c r="G259" s="144">
        <f>'пр. 10 2022г'!G351</f>
        <v>2184.2159999999999</v>
      </c>
      <c r="H259" s="144"/>
      <c r="I259" s="150"/>
    </row>
    <row r="260" spans="1:9" ht="63.75" hidden="1">
      <c r="A260" s="134" t="s">
        <v>1071</v>
      </c>
      <c r="B260" s="128" t="s">
        <v>1072</v>
      </c>
      <c r="C260" s="120"/>
      <c r="D260" s="128" t="s">
        <v>112</v>
      </c>
      <c r="E260" s="128" t="s">
        <v>212</v>
      </c>
      <c r="F260" s="128" t="s">
        <v>210</v>
      </c>
      <c r="G260" s="144">
        <f>G261</f>
        <v>0</v>
      </c>
      <c r="H260" s="144"/>
      <c r="I260" s="150"/>
    </row>
    <row r="261" spans="1:9" hidden="1">
      <c r="A261" s="135" t="s">
        <v>263</v>
      </c>
      <c r="B261" s="128" t="s">
        <v>1072</v>
      </c>
      <c r="C261" s="120" t="s">
        <v>260</v>
      </c>
      <c r="D261" s="128" t="s">
        <v>112</v>
      </c>
      <c r="E261" s="128" t="s">
        <v>212</v>
      </c>
      <c r="F261" s="128" t="s">
        <v>210</v>
      </c>
      <c r="G261" s="144">
        <f>'пр. 10 2022г'!G353</f>
        <v>0</v>
      </c>
      <c r="H261" s="144"/>
      <c r="I261" s="150"/>
    </row>
    <row r="262" spans="1:9" ht="38.25" hidden="1">
      <c r="A262" s="134" t="s">
        <v>1080</v>
      </c>
      <c r="B262" s="128" t="s">
        <v>1081</v>
      </c>
      <c r="C262" s="120"/>
      <c r="D262" s="128" t="s">
        <v>112</v>
      </c>
      <c r="E262" s="128" t="s">
        <v>212</v>
      </c>
      <c r="F262" s="128" t="s">
        <v>210</v>
      </c>
      <c r="G262" s="144">
        <f>G263</f>
        <v>0</v>
      </c>
      <c r="H262" s="144"/>
      <c r="I262" s="150"/>
    </row>
    <row r="263" spans="1:9" hidden="1">
      <c r="A263" s="134" t="s">
        <v>263</v>
      </c>
      <c r="B263" s="128" t="s">
        <v>1081</v>
      </c>
      <c r="C263" s="120" t="s">
        <v>260</v>
      </c>
      <c r="D263" s="128" t="s">
        <v>112</v>
      </c>
      <c r="E263" s="128" t="s">
        <v>212</v>
      </c>
      <c r="F263" s="128" t="s">
        <v>210</v>
      </c>
      <c r="G263" s="144">
        <f>'пр. 10 2022г'!G355</f>
        <v>0</v>
      </c>
      <c r="H263" s="144"/>
      <c r="I263" s="150"/>
    </row>
    <row r="264" spans="1:9" ht="51" hidden="1">
      <c r="A264" s="134" t="s">
        <v>1108</v>
      </c>
      <c r="B264" s="128" t="s">
        <v>1081</v>
      </c>
      <c r="C264" s="120"/>
      <c r="D264" s="128" t="s">
        <v>112</v>
      </c>
      <c r="E264" s="128" t="s">
        <v>212</v>
      </c>
      <c r="F264" s="128" t="s">
        <v>210</v>
      </c>
      <c r="G264" s="144">
        <f>G265</f>
        <v>0</v>
      </c>
      <c r="H264" s="144"/>
      <c r="I264" s="150"/>
    </row>
    <row r="265" spans="1:9" hidden="1">
      <c r="A265" s="134" t="s">
        <v>263</v>
      </c>
      <c r="B265" s="128" t="s">
        <v>1081</v>
      </c>
      <c r="C265" s="120" t="s">
        <v>260</v>
      </c>
      <c r="D265" s="128" t="s">
        <v>112</v>
      </c>
      <c r="E265" s="128" t="s">
        <v>212</v>
      </c>
      <c r="F265" s="128" t="s">
        <v>210</v>
      </c>
      <c r="G265" s="144">
        <f>'пр. 10 2022г'!G357</f>
        <v>0</v>
      </c>
      <c r="H265" s="144"/>
      <c r="I265" s="150"/>
    </row>
    <row r="266" spans="1:9" ht="229.5">
      <c r="A266" s="45" t="s">
        <v>715</v>
      </c>
      <c r="B266" s="128" t="s">
        <v>885</v>
      </c>
      <c r="C266" s="128"/>
      <c r="D266" s="128" t="s">
        <v>112</v>
      </c>
      <c r="E266" s="128" t="s">
        <v>215</v>
      </c>
      <c r="F266" s="128" t="s">
        <v>213</v>
      </c>
      <c r="G266" s="144">
        <f>G267</f>
        <v>2900</v>
      </c>
      <c r="H266" s="144"/>
      <c r="I266" s="150"/>
    </row>
    <row r="267" spans="1:9">
      <c r="A267" s="135" t="s">
        <v>263</v>
      </c>
      <c r="B267" s="128" t="s">
        <v>885</v>
      </c>
      <c r="C267" s="128" t="s">
        <v>260</v>
      </c>
      <c r="D267" s="128" t="s">
        <v>112</v>
      </c>
      <c r="E267" s="128" t="s">
        <v>215</v>
      </c>
      <c r="F267" s="128" t="s">
        <v>213</v>
      </c>
      <c r="G267" s="144">
        <f>'пр. 10 2022г'!G532</f>
        <v>2900</v>
      </c>
      <c r="H267" s="144"/>
      <c r="I267" s="150"/>
    </row>
    <row r="268" spans="1:9" ht="25.5">
      <c r="A268" s="350" t="s">
        <v>444</v>
      </c>
      <c r="B268" s="648" t="s">
        <v>888</v>
      </c>
      <c r="C268" s="351"/>
      <c r="D268" s="348" t="s">
        <v>112</v>
      </c>
      <c r="E268" s="348" t="s">
        <v>212</v>
      </c>
      <c r="F268" s="348" t="s">
        <v>211</v>
      </c>
      <c r="G268" s="349">
        <f>G269</f>
        <v>562217.33627000009</v>
      </c>
      <c r="H268" s="349" t="e">
        <f t="shared" ref="H268" si="26">H269</f>
        <v>#REF!</v>
      </c>
      <c r="I268" s="215" t="e">
        <f>G268-#REF!</f>
        <v>#REF!</v>
      </c>
    </row>
    <row r="269" spans="1:9" ht="51">
      <c r="A269" s="350" t="s">
        <v>806</v>
      </c>
      <c r="B269" s="648" t="s">
        <v>887</v>
      </c>
      <c r="C269" s="351"/>
      <c r="D269" s="348"/>
      <c r="E269" s="348"/>
      <c r="F269" s="348"/>
      <c r="G269" s="349">
        <f>G270+G272+G274+G276+G278+G280+G286+G288+G292+G294+G296+G298+G300+G302+G304+G306</f>
        <v>562217.33627000009</v>
      </c>
      <c r="H269" s="349" t="e">
        <f>H270+H272+H274+H276+H282+H284+H286+H288+H290+H292+H294+H304+H278+H280+H300+H302+H296+H298+H306</f>
        <v>#REF!</v>
      </c>
      <c r="I269" s="150"/>
    </row>
    <row r="270" spans="1:9" ht="25.5">
      <c r="A270" s="68" t="s">
        <v>383</v>
      </c>
      <c r="B270" s="128" t="s">
        <v>886</v>
      </c>
      <c r="C270" s="128"/>
      <c r="D270" s="128" t="s">
        <v>112</v>
      </c>
      <c r="E270" s="128" t="s">
        <v>212</v>
      </c>
      <c r="F270" s="128" t="s">
        <v>211</v>
      </c>
      <c r="G270" s="144">
        <f>G271</f>
        <v>64000.566270000003</v>
      </c>
      <c r="H270" s="144"/>
      <c r="I270" s="150"/>
    </row>
    <row r="271" spans="1:9">
      <c r="A271" s="134" t="s">
        <v>261</v>
      </c>
      <c r="B271" s="128" t="s">
        <v>886</v>
      </c>
      <c r="C271" s="128" t="s">
        <v>408</v>
      </c>
      <c r="D271" s="128" t="s">
        <v>112</v>
      </c>
      <c r="E271" s="128" t="s">
        <v>212</v>
      </c>
      <c r="F271" s="128" t="s">
        <v>211</v>
      </c>
      <c r="G271" s="144">
        <f>'пр. 10 2022г'!G377</f>
        <v>64000.566270000003</v>
      </c>
      <c r="H271" s="144"/>
      <c r="I271" s="150"/>
    </row>
    <row r="272" spans="1:9" ht="51">
      <c r="A272" s="136" t="s">
        <v>337</v>
      </c>
      <c r="B272" s="128" t="s">
        <v>889</v>
      </c>
      <c r="C272" s="128"/>
      <c r="D272" s="128" t="s">
        <v>112</v>
      </c>
      <c r="E272" s="128" t="s">
        <v>212</v>
      </c>
      <c r="F272" s="128" t="s">
        <v>211</v>
      </c>
      <c r="G272" s="144">
        <f>G273</f>
        <v>268960.7</v>
      </c>
      <c r="H272" s="144"/>
    </row>
    <row r="273" spans="1:8">
      <c r="A273" s="135" t="s">
        <v>263</v>
      </c>
      <c r="B273" s="128" t="s">
        <v>889</v>
      </c>
      <c r="C273" s="128" t="s">
        <v>260</v>
      </c>
      <c r="D273" s="128" t="s">
        <v>112</v>
      </c>
      <c r="E273" s="128" t="s">
        <v>212</v>
      </c>
      <c r="F273" s="128" t="s">
        <v>211</v>
      </c>
      <c r="G273" s="144">
        <f>'пр. 10 2022г'!G385</f>
        <v>268960.7</v>
      </c>
      <c r="H273" s="144"/>
    </row>
    <row r="274" spans="1:8" ht="25.5">
      <c r="A274" s="68" t="s">
        <v>346</v>
      </c>
      <c r="B274" s="120" t="s">
        <v>890</v>
      </c>
      <c r="C274" s="128"/>
      <c r="D274" s="128" t="s">
        <v>112</v>
      </c>
      <c r="E274" s="128" t="s">
        <v>212</v>
      </c>
      <c r="F274" s="128" t="s">
        <v>211</v>
      </c>
      <c r="G274" s="144">
        <f>G275</f>
        <v>10290.486999999999</v>
      </c>
      <c r="H274" s="144"/>
    </row>
    <row r="275" spans="1:8">
      <c r="A275" s="135" t="s">
        <v>263</v>
      </c>
      <c r="B275" s="120" t="s">
        <v>890</v>
      </c>
      <c r="C275" s="128" t="s">
        <v>260</v>
      </c>
      <c r="D275" s="128" t="s">
        <v>112</v>
      </c>
      <c r="E275" s="128" t="s">
        <v>212</v>
      </c>
      <c r="F275" s="128" t="s">
        <v>211</v>
      </c>
      <c r="G275" s="144">
        <f>'пр. 10 2022г'!G383</f>
        <v>10290.486999999999</v>
      </c>
      <c r="H275" s="144"/>
    </row>
    <row r="276" spans="1:8" ht="25.5">
      <c r="A276" s="136" t="s">
        <v>237</v>
      </c>
      <c r="B276" s="128" t="s">
        <v>891</v>
      </c>
      <c r="C276" s="128"/>
      <c r="D276" s="128" t="s">
        <v>112</v>
      </c>
      <c r="E276" s="128" t="s">
        <v>212</v>
      </c>
      <c r="F276" s="128" t="s">
        <v>211</v>
      </c>
      <c r="G276" s="144">
        <f>G277</f>
        <v>5652</v>
      </c>
      <c r="H276" s="144"/>
    </row>
    <row r="277" spans="1:8">
      <c r="A277" s="135" t="s">
        <v>263</v>
      </c>
      <c r="B277" s="128" t="s">
        <v>891</v>
      </c>
      <c r="C277" s="128" t="s">
        <v>260</v>
      </c>
      <c r="D277" s="128" t="s">
        <v>112</v>
      </c>
      <c r="E277" s="128" t="s">
        <v>212</v>
      </c>
      <c r="F277" s="128" t="s">
        <v>211</v>
      </c>
      <c r="G277" s="144">
        <f>'пр. 10 2022г'!G387</f>
        <v>5652</v>
      </c>
      <c r="H277" s="144" t="e">
        <f>#REF!</f>
        <v>#REF!</v>
      </c>
    </row>
    <row r="278" spans="1:8" ht="76.5">
      <c r="A278" s="594" t="s">
        <v>789</v>
      </c>
      <c r="B278" s="128" t="s">
        <v>970</v>
      </c>
      <c r="C278" s="128"/>
      <c r="D278" s="128" t="s">
        <v>112</v>
      </c>
      <c r="E278" s="128" t="s">
        <v>212</v>
      </c>
      <c r="F278" s="128" t="s">
        <v>211</v>
      </c>
      <c r="G278" s="144">
        <f>G279</f>
        <v>36477.928</v>
      </c>
      <c r="H278" s="144"/>
    </row>
    <row r="279" spans="1:8">
      <c r="A279" s="134" t="s">
        <v>263</v>
      </c>
      <c r="B279" s="128" t="s">
        <v>970</v>
      </c>
      <c r="C279" s="128" t="s">
        <v>260</v>
      </c>
      <c r="D279" s="128" t="s">
        <v>112</v>
      </c>
      <c r="E279" s="128" t="s">
        <v>212</v>
      </c>
      <c r="F279" s="128" t="s">
        <v>211</v>
      </c>
      <c r="G279" s="144">
        <f>'пр. 10 2022г'!G379</f>
        <v>36477.928</v>
      </c>
      <c r="H279" s="144"/>
    </row>
    <row r="280" spans="1:8" ht="89.25">
      <c r="A280" s="594" t="s">
        <v>790</v>
      </c>
      <c r="B280" s="128" t="s">
        <v>970</v>
      </c>
      <c r="C280" s="128"/>
      <c r="D280" s="128" t="s">
        <v>112</v>
      </c>
      <c r="E280" s="128" t="s">
        <v>212</v>
      </c>
      <c r="F280" s="128" t="s">
        <v>211</v>
      </c>
      <c r="G280" s="144">
        <f>G281</f>
        <v>744.48</v>
      </c>
      <c r="H280" s="144"/>
    </row>
    <row r="281" spans="1:8">
      <c r="A281" s="134" t="s">
        <v>263</v>
      </c>
      <c r="B281" s="128" t="s">
        <v>970</v>
      </c>
      <c r="C281" s="128" t="s">
        <v>260</v>
      </c>
      <c r="D281" s="128" t="s">
        <v>112</v>
      </c>
      <c r="E281" s="128" t="s">
        <v>212</v>
      </c>
      <c r="F281" s="128" t="s">
        <v>211</v>
      </c>
      <c r="G281" s="144">
        <f>'пр. 10 2022г'!G381</f>
        <v>744.48</v>
      </c>
      <c r="H281" s="144"/>
    </row>
    <row r="282" spans="1:8" ht="51" hidden="1">
      <c r="A282" s="135" t="s">
        <v>672</v>
      </c>
      <c r="B282" s="120" t="s">
        <v>892</v>
      </c>
      <c r="C282" s="128"/>
      <c r="D282" s="128" t="s">
        <v>112</v>
      </c>
      <c r="E282" s="128" t="s">
        <v>212</v>
      </c>
      <c r="F282" s="128" t="s">
        <v>211</v>
      </c>
      <c r="G282" s="144">
        <f>G283</f>
        <v>0</v>
      </c>
      <c r="H282" s="144"/>
    </row>
    <row r="283" spans="1:8" hidden="1">
      <c r="A283" s="135" t="s">
        <v>263</v>
      </c>
      <c r="B283" s="120" t="s">
        <v>892</v>
      </c>
      <c r="C283" s="128" t="s">
        <v>260</v>
      </c>
      <c r="D283" s="128" t="s">
        <v>112</v>
      </c>
      <c r="E283" s="128" t="s">
        <v>212</v>
      </c>
      <c r="F283" s="128" t="s">
        <v>211</v>
      </c>
      <c r="G283" s="144">
        <v>0</v>
      </c>
      <c r="H283" s="144"/>
    </row>
    <row r="284" spans="1:8" ht="63.75" hidden="1">
      <c r="A284" s="135" t="s">
        <v>673</v>
      </c>
      <c r="B284" s="120" t="s">
        <v>892</v>
      </c>
      <c r="C284" s="128"/>
      <c r="D284" s="128" t="s">
        <v>112</v>
      </c>
      <c r="E284" s="128" t="s">
        <v>212</v>
      </c>
      <c r="F284" s="128" t="s">
        <v>211</v>
      </c>
      <c r="G284" s="144" t="e">
        <f>#REF!</f>
        <v>#REF!</v>
      </c>
      <c r="H284" s="144" t="e">
        <f>#REF!</f>
        <v>#REF!</v>
      </c>
    </row>
    <row r="285" spans="1:8" hidden="1">
      <c r="A285" s="135" t="s">
        <v>263</v>
      </c>
      <c r="B285" s="120" t="s">
        <v>892</v>
      </c>
      <c r="C285" s="128" t="s">
        <v>260</v>
      </c>
      <c r="D285" s="128" t="s">
        <v>112</v>
      </c>
      <c r="E285" s="128" t="s">
        <v>212</v>
      </c>
      <c r="F285" s="128" t="s">
        <v>211</v>
      </c>
      <c r="G285" s="144">
        <v>0</v>
      </c>
      <c r="H285" s="144"/>
    </row>
    <row r="286" spans="1:8" ht="51">
      <c r="A286" s="134" t="s">
        <v>712</v>
      </c>
      <c r="B286" s="120" t="s">
        <v>893</v>
      </c>
      <c r="C286" s="128"/>
      <c r="D286" s="128" t="s">
        <v>112</v>
      </c>
      <c r="E286" s="128" t="s">
        <v>212</v>
      </c>
      <c r="F286" s="128" t="s">
        <v>211</v>
      </c>
      <c r="G286" s="144">
        <f>G287</f>
        <v>90950.1</v>
      </c>
      <c r="H286" s="144"/>
    </row>
    <row r="287" spans="1:8">
      <c r="A287" s="135" t="s">
        <v>263</v>
      </c>
      <c r="B287" s="120" t="s">
        <v>893</v>
      </c>
      <c r="C287" s="128" t="s">
        <v>260</v>
      </c>
      <c r="D287" s="128" t="s">
        <v>112</v>
      </c>
      <c r="E287" s="128" t="s">
        <v>212</v>
      </c>
      <c r="F287" s="128" t="s">
        <v>211</v>
      </c>
      <c r="G287" s="144">
        <f>'пр. 10 2022г'!G397</f>
        <v>90950.1</v>
      </c>
      <c r="H287" s="144"/>
    </row>
    <row r="288" spans="1:8" ht="63.75">
      <c r="A288" s="134" t="s">
        <v>718</v>
      </c>
      <c r="B288" s="120" t="s">
        <v>893</v>
      </c>
      <c r="C288" s="128"/>
      <c r="D288" s="128" t="s">
        <v>112</v>
      </c>
      <c r="E288" s="128" t="s">
        <v>212</v>
      </c>
      <c r="F288" s="128" t="s">
        <v>211</v>
      </c>
      <c r="G288" s="144">
        <f>G289</f>
        <v>1975.9</v>
      </c>
      <c r="H288" s="144"/>
    </row>
    <row r="289" spans="1:8">
      <c r="A289" s="135" t="s">
        <v>263</v>
      </c>
      <c r="B289" s="120" t="s">
        <v>893</v>
      </c>
      <c r="C289" s="128" t="s">
        <v>260</v>
      </c>
      <c r="D289" s="128" t="s">
        <v>112</v>
      </c>
      <c r="E289" s="128" t="s">
        <v>212</v>
      </c>
      <c r="F289" s="128" t="s">
        <v>211</v>
      </c>
      <c r="G289" s="144">
        <f>'пр. 10 2022г'!G399</f>
        <v>1975.9</v>
      </c>
      <c r="H289" s="144"/>
    </row>
    <row r="290" spans="1:8" ht="51" hidden="1">
      <c r="A290" s="134" t="s">
        <v>758</v>
      </c>
      <c r="B290" s="120" t="s">
        <v>1024</v>
      </c>
      <c r="C290" s="345"/>
      <c r="D290" s="128" t="s">
        <v>112</v>
      </c>
      <c r="E290" s="128" t="s">
        <v>212</v>
      </c>
      <c r="F290" s="128" t="s">
        <v>211</v>
      </c>
      <c r="G290" s="144">
        <f>G291</f>
        <v>0</v>
      </c>
      <c r="H290" s="144"/>
    </row>
    <row r="291" spans="1:8" hidden="1">
      <c r="A291" s="135" t="s">
        <v>263</v>
      </c>
      <c r="B291" s="120" t="s">
        <v>1024</v>
      </c>
      <c r="C291" s="128" t="s">
        <v>260</v>
      </c>
      <c r="D291" s="128" t="s">
        <v>112</v>
      </c>
      <c r="E291" s="128" t="s">
        <v>212</v>
      </c>
      <c r="F291" s="128" t="s">
        <v>211</v>
      </c>
      <c r="G291" s="144">
        <f>'пр. 10 2022г'!G389</f>
        <v>0</v>
      </c>
      <c r="H291" s="144"/>
    </row>
    <row r="292" spans="1:8" ht="63.75">
      <c r="A292" s="134" t="s">
        <v>759</v>
      </c>
      <c r="B292" s="128" t="s">
        <v>894</v>
      </c>
      <c r="C292" s="345"/>
      <c r="D292" s="128" t="s">
        <v>112</v>
      </c>
      <c r="E292" s="128" t="s">
        <v>212</v>
      </c>
      <c r="F292" s="128" t="s">
        <v>211</v>
      </c>
      <c r="G292" s="144">
        <f>G293</f>
        <v>10644.2</v>
      </c>
      <c r="H292" s="144"/>
    </row>
    <row r="293" spans="1:8">
      <c r="A293" s="135" t="s">
        <v>263</v>
      </c>
      <c r="B293" s="128" t="s">
        <v>894</v>
      </c>
      <c r="C293" s="128" t="s">
        <v>260</v>
      </c>
      <c r="D293" s="128" t="s">
        <v>112</v>
      </c>
      <c r="E293" s="128" t="s">
        <v>212</v>
      </c>
      <c r="F293" s="128" t="s">
        <v>211</v>
      </c>
      <c r="G293" s="144">
        <f>'пр. 10 2022г'!G393</f>
        <v>10644.2</v>
      </c>
      <c r="H293" s="144"/>
    </row>
    <row r="294" spans="1:8" ht="63.75">
      <c r="A294" s="134" t="s">
        <v>760</v>
      </c>
      <c r="B294" s="128" t="s">
        <v>894</v>
      </c>
      <c r="C294" s="345"/>
      <c r="D294" s="128" t="s">
        <v>112</v>
      </c>
      <c r="E294" s="128" t="s">
        <v>212</v>
      </c>
      <c r="F294" s="128" t="s">
        <v>211</v>
      </c>
      <c r="G294" s="144">
        <f>G295</f>
        <v>10644.2</v>
      </c>
      <c r="H294" s="144"/>
    </row>
    <row r="295" spans="1:8">
      <c r="A295" s="135" t="s">
        <v>263</v>
      </c>
      <c r="B295" s="128" t="s">
        <v>894</v>
      </c>
      <c r="C295" s="128" t="s">
        <v>260</v>
      </c>
      <c r="D295" s="128" t="s">
        <v>112</v>
      </c>
      <c r="E295" s="128" t="s">
        <v>212</v>
      </c>
      <c r="F295" s="128" t="s">
        <v>211</v>
      </c>
      <c r="G295" s="144">
        <f>'пр. 10 2022г'!G395</f>
        <v>10644.2</v>
      </c>
      <c r="H295" s="144"/>
    </row>
    <row r="296" spans="1:8" ht="89.25">
      <c r="A296" s="134" t="s">
        <v>1005</v>
      </c>
      <c r="B296" s="120" t="s">
        <v>1006</v>
      </c>
      <c r="C296" s="345"/>
      <c r="D296" s="128" t="s">
        <v>112</v>
      </c>
      <c r="E296" s="128" t="s">
        <v>212</v>
      </c>
      <c r="F296" s="128" t="s">
        <v>211</v>
      </c>
      <c r="G296" s="144">
        <f>G297</f>
        <v>253.9</v>
      </c>
      <c r="H296" s="144"/>
    </row>
    <row r="297" spans="1:8">
      <c r="A297" s="134" t="s">
        <v>494</v>
      </c>
      <c r="B297" s="120" t="s">
        <v>1006</v>
      </c>
      <c r="C297" s="128" t="s">
        <v>260</v>
      </c>
      <c r="D297" s="128" t="s">
        <v>112</v>
      </c>
      <c r="E297" s="128" t="s">
        <v>212</v>
      </c>
      <c r="F297" s="128" t="s">
        <v>211</v>
      </c>
      <c r="G297" s="144">
        <f>'пр. 10 2022г'!G401</f>
        <v>253.9</v>
      </c>
      <c r="H297" s="144">
        <f>'пр. 10 2022г'!H401</f>
        <v>253.9</v>
      </c>
    </row>
    <row r="298" spans="1:8" ht="102">
      <c r="A298" s="134" t="s">
        <v>1060</v>
      </c>
      <c r="B298" s="120" t="s">
        <v>1006</v>
      </c>
      <c r="C298" s="345"/>
      <c r="D298" s="128" t="s">
        <v>112</v>
      </c>
      <c r="E298" s="128" t="s">
        <v>212</v>
      </c>
      <c r="F298" s="128" t="s">
        <v>211</v>
      </c>
      <c r="G298" s="144">
        <f>G299</f>
        <v>5.1820000000000004</v>
      </c>
      <c r="H298" s="144">
        <f>H299+H305+H308+H314+H320+H322+H324</f>
        <v>0</v>
      </c>
    </row>
    <row r="299" spans="1:8">
      <c r="A299" s="134" t="s">
        <v>494</v>
      </c>
      <c r="B299" s="120" t="s">
        <v>1006</v>
      </c>
      <c r="C299" s="128" t="s">
        <v>260</v>
      </c>
      <c r="D299" s="128" t="s">
        <v>112</v>
      </c>
      <c r="E299" s="128" t="s">
        <v>212</v>
      </c>
      <c r="F299" s="128" t="s">
        <v>211</v>
      </c>
      <c r="G299" s="144">
        <f>'пр. 10 2022г'!G403</f>
        <v>5.1820000000000004</v>
      </c>
      <c r="H299" s="144"/>
    </row>
    <row r="300" spans="1:8" ht="51">
      <c r="A300" s="134" t="s">
        <v>1011</v>
      </c>
      <c r="B300" s="120" t="s">
        <v>1013</v>
      </c>
      <c r="C300" s="345"/>
      <c r="D300" s="128" t="s">
        <v>112</v>
      </c>
      <c r="E300" s="128" t="s">
        <v>212</v>
      </c>
      <c r="F300" s="128" t="s">
        <v>211</v>
      </c>
      <c r="G300" s="144">
        <f>G301</f>
        <v>26319.3</v>
      </c>
      <c r="H300" s="144"/>
    </row>
    <row r="301" spans="1:8">
      <c r="A301" s="134" t="s">
        <v>494</v>
      </c>
      <c r="B301" s="120" t="s">
        <v>1013</v>
      </c>
      <c r="C301" s="128" t="s">
        <v>260</v>
      </c>
      <c r="D301" s="128" t="s">
        <v>112</v>
      </c>
      <c r="E301" s="128" t="s">
        <v>212</v>
      </c>
      <c r="F301" s="128" t="s">
        <v>211</v>
      </c>
      <c r="G301" s="144">
        <f>'пр. 10 2022г'!G405</f>
        <v>26319.3</v>
      </c>
      <c r="H301" s="144"/>
    </row>
    <row r="302" spans="1:8" ht="63.75">
      <c r="A302" s="134" t="s">
        <v>1012</v>
      </c>
      <c r="B302" s="120" t="s">
        <v>1013</v>
      </c>
      <c r="C302" s="345"/>
      <c r="D302" s="128" t="s">
        <v>112</v>
      </c>
      <c r="E302" s="128" t="s">
        <v>212</v>
      </c>
      <c r="F302" s="128" t="s">
        <v>211</v>
      </c>
      <c r="G302" s="144">
        <f>G303</f>
        <v>263.19299999999998</v>
      </c>
      <c r="H302" s="144"/>
    </row>
    <row r="303" spans="1:8">
      <c r="A303" s="134" t="s">
        <v>494</v>
      </c>
      <c r="B303" s="120" t="s">
        <v>1013</v>
      </c>
      <c r="C303" s="128" t="s">
        <v>260</v>
      </c>
      <c r="D303" s="128" t="s">
        <v>112</v>
      </c>
      <c r="E303" s="128" t="s">
        <v>212</v>
      </c>
      <c r="F303" s="128" t="s">
        <v>211</v>
      </c>
      <c r="G303" s="144">
        <f>'пр. 10 2022г'!G407</f>
        <v>263.19299999999998</v>
      </c>
      <c r="H303" s="144"/>
    </row>
    <row r="304" spans="1:8" ht="51">
      <c r="A304" s="134" t="s">
        <v>761</v>
      </c>
      <c r="B304" s="128" t="s">
        <v>895</v>
      </c>
      <c r="C304" s="345"/>
      <c r="D304" s="128" t="s">
        <v>112</v>
      </c>
      <c r="E304" s="128" t="s">
        <v>212</v>
      </c>
      <c r="F304" s="128" t="s">
        <v>211</v>
      </c>
      <c r="G304" s="144">
        <f>G305</f>
        <v>34384.9</v>
      </c>
      <c r="H304" s="144"/>
    </row>
    <row r="305" spans="1:9">
      <c r="A305" s="135" t="s">
        <v>263</v>
      </c>
      <c r="B305" s="128" t="s">
        <v>895</v>
      </c>
      <c r="C305" s="128" t="s">
        <v>260</v>
      </c>
      <c r="D305" s="128" t="s">
        <v>112</v>
      </c>
      <c r="E305" s="128" t="s">
        <v>212</v>
      </c>
      <c r="F305" s="128" t="s">
        <v>211</v>
      </c>
      <c r="G305" s="144">
        <f>'пр. 10 2022г'!G409</f>
        <v>34384.9</v>
      </c>
      <c r="H305" s="144"/>
    </row>
    <row r="306" spans="1:9" ht="51">
      <c r="A306" s="134" t="s">
        <v>761</v>
      </c>
      <c r="B306" s="128" t="s">
        <v>1073</v>
      </c>
      <c r="C306" s="120"/>
      <c r="D306" s="128" t="s">
        <v>112</v>
      </c>
      <c r="E306" s="128" t="s">
        <v>212</v>
      </c>
      <c r="F306" s="128" t="s">
        <v>211</v>
      </c>
      <c r="G306" s="144">
        <f>G307</f>
        <v>650.29999999999995</v>
      </c>
      <c r="H306" s="144"/>
    </row>
    <row r="307" spans="1:9">
      <c r="A307" s="135" t="s">
        <v>263</v>
      </c>
      <c r="B307" s="128" t="s">
        <v>1073</v>
      </c>
      <c r="C307" s="120" t="s">
        <v>260</v>
      </c>
      <c r="D307" s="128" t="s">
        <v>112</v>
      </c>
      <c r="E307" s="128" t="s">
        <v>212</v>
      </c>
      <c r="F307" s="128" t="s">
        <v>211</v>
      </c>
      <c r="G307" s="144">
        <f>'пр. 10 2022г'!G411</f>
        <v>650.29999999999995</v>
      </c>
      <c r="H307" s="144"/>
    </row>
    <row r="308" spans="1:9" ht="51">
      <c r="A308" s="350" t="s">
        <v>445</v>
      </c>
      <c r="B308" s="348" t="s">
        <v>818</v>
      </c>
      <c r="C308" s="351"/>
      <c r="D308" s="348" t="s">
        <v>112</v>
      </c>
      <c r="E308" s="348" t="s">
        <v>907</v>
      </c>
      <c r="F308" s="348" t="s">
        <v>213</v>
      </c>
      <c r="G308" s="349">
        <f>G309</f>
        <v>30466.501189999999</v>
      </c>
      <c r="H308" s="349">
        <f t="shared" ref="H308" si="27">H309</f>
        <v>0</v>
      </c>
      <c r="I308" s="599" t="e">
        <f>#REF!-#REF!</f>
        <v>#REF!</v>
      </c>
    </row>
    <row r="309" spans="1:9" ht="38.25">
      <c r="A309" s="519" t="s">
        <v>819</v>
      </c>
      <c r="B309" s="632" t="s">
        <v>820</v>
      </c>
      <c r="C309" s="632"/>
      <c r="D309" s="128" t="s">
        <v>112</v>
      </c>
      <c r="E309" s="128" t="s">
        <v>212</v>
      </c>
      <c r="F309" s="128" t="s">
        <v>213</v>
      </c>
      <c r="G309" s="144">
        <f>G310+G312+G314+G316+G318+G322+G324+G320</f>
        <v>30466.501189999999</v>
      </c>
      <c r="H309" s="144">
        <f t="shared" ref="H309" si="28">H310+H312+H314+H316+H318+H322+H324+H320</f>
        <v>0</v>
      </c>
    </row>
    <row r="310" spans="1:9" ht="38.25">
      <c r="A310" s="328" t="s">
        <v>376</v>
      </c>
      <c r="B310" s="330" t="s">
        <v>991</v>
      </c>
      <c r="C310" s="632"/>
      <c r="D310" s="128" t="s">
        <v>112</v>
      </c>
      <c r="E310" s="128" t="s">
        <v>212</v>
      </c>
      <c r="F310" s="128" t="s">
        <v>213</v>
      </c>
      <c r="G310" s="144">
        <f>G311</f>
        <v>4115.5886899999996</v>
      </c>
      <c r="H310" s="144"/>
    </row>
    <row r="311" spans="1:9">
      <c r="A311" s="134" t="s">
        <v>261</v>
      </c>
      <c r="B311" s="330" t="s">
        <v>896</v>
      </c>
      <c r="C311" s="128" t="s">
        <v>408</v>
      </c>
      <c r="D311" s="128" t="s">
        <v>112</v>
      </c>
      <c r="E311" s="128" t="s">
        <v>212</v>
      </c>
      <c r="F311" s="128" t="s">
        <v>213</v>
      </c>
      <c r="G311" s="144">
        <f>'пр. 10 2022г'!G442</f>
        <v>4115.5886899999996</v>
      </c>
      <c r="H311" s="395"/>
    </row>
    <row r="312" spans="1:9" ht="38.25" hidden="1">
      <c r="A312" s="135" t="s">
        <v>705</v>
      </c>
      <c r="B312" s="128" t="s">
        <v>897</v>
      </c>
      <c r="C312" s="128"/>
      <c r="D312" s="128" t="s">
        <v>112</v>
      </c>
      <c r="E312" s="128" t="s">
        <v>212</v>
      </c>
      <c r="F312" s="128" t="s">
        <v>213</v>
      </c>
      <c r="G312" s="144">
        <f>G313</f>
        <v>0</v>
      </c>
      <c r="H312" s="144">
        <f t="shared" ref="H312" si="29">H313</f>
        <v>0</v>
      </c>
    </row>
    <row r="313" spans="1:9" hidden="1">
      <c r="A313" s="135" t="s">
        <v>263</v>
      </c>
      <c r="B313" s="128" t="s">
        <v>897</v>
      </c>
      <c r="C313" s="128" t="s">
        <v>260</v>
      </c>
      <c r="D313" s="128" t="s">
        <v>112</v>
      </c>
      <c r="E313" s="128" t="s">
        <v>212</v>
      </c>
      <c r="F313" s="128" t="s">
        <v>213</v>
      </c>
      <c r="G313" s="144">
        <f>'пр. 10 2022г'!G444</f>
        <v>0</v>
      </c>
      <c r="H313" s="395"/>
    </row>
    <row r="314" spans="1:9" ht="51" hidden="1">
      <c r="A314" s="135" t="s">
        <v>723</v>
      </c>
      <c r="B314" s="128" t="s">
        <v>897</v>
      </c>
      <c r="C314" s="128"/>
      <c r="D314" s="128" t="s">
        <v>112</v>
      </c>
      <c r="E314" s="128" t="s">
        <v>212</v>
      </c>
      <c r="F314" s="128" t="s">
        <v>213</v>
      </c>
      <c r="G314" s="144">
        <f>G315</f>
        <v>0</v>
      </c>
      <c r="H314" s="395"/>
    </row>
    <row r="315" spans="1:9" hidden="1">
      <c r="A315" s="135" t="s">
        <v>263</v>
      </c>
      <c r="B315" s="128" t="s">
        <v>897</v>
      </c>
      <c r="C315" s="128" t="s">
        <v>260</v>
      </c>
      <c r="D315" s="128" t="s">
        <v>112</v>
      </c>
      <c r="E315" s="128" t="s">
        <v>212</v>
      </c>
      <c r="F315" s="128" t="s">
        <v>213</v>
      </c>
      <c r="G315" s="144">
        <f>'пр. 10 2022г'!G446</f>
        <v>0</v>
      </c>
      <c r="H315" s="395"/>
    </row>
    <row r="316" spans="1:9" ht="38.25">
      <c r="A316" s="593" t="s">
        <v>182</v>
      </c>
      <c r="B316" s="128" t="s">
        <v>898</v>
      </c>
      <c r="C316" s="128"/>
      <c r="D316" s="128" t="s">
        <v>112</v>
      </c>
      <c r="E316" s="128" t="s">
        <v>212</v>
      </c>
      <c r="F316" s="128" t="s">
        <v>213</v>
      </c>
      <c r="G316" s="144">
        <f>G317</f>
        <v>10916.6</v>
      </c>
      <c r="H316" s="395"/>
    </row>
    <row r="317" spans="1:9">
      <c r="A317" s="135" t="s">
        <v>263</v>
      </c>
      <c r="B317" s="128" t="s">
        <v>898</v>
      </c>
      <c r="C317" s="128" t="s">
        <v>260</v>
      </c>
      <c r="D317" s="128" t="s">
        <v>112</v>
      </c>
      <c r="E317" s="128" t="s">
        <v>212</v>
      </c>
      <c r="F317" s="128" t="s">
        <v>213</v>
      </c>
      <c r="G317" s="144">
        <f>'пр. 10 2022г'!G438</f>
        <v>10916.6</v>
      </c>
      <c r="H317" s="395"/>
    </row>
    <row r="318" spans="1:9" ht="51">
      <c r="A318" s="593" t="s">
        <v>664</v>
      </c>
      <c r="B318" s="128" t="s">
        <v>898</v>
      </c>
      <c r="C318" s="128"/>
      <c r="D318" s="128" t="s">
        <v>112</v>
      </c>
      <c r="E318" s="128" t="s">
        <v>212</v>
      </c>
      <c r="F318" s="128" t="s">
        <v>213</v>
      </c>
      <c r="G318" s="144">
        <f>G319</f>
        <v>15334.3125</v>
      </c>
      <c r="H318" s="144">
        <f t="shared" ref="H318" si="30">H319</f>
        <v>0</v>
      </c>
    </row>
    <row r="319" spans="1:9">
      <c r="A319" s="135" t="s">
        <v>263</v>
      </c>
      <c r="B319" s="128" t="s">
        <v>898</v>
      </c>
      <c r="C319" s="128" t="s">
        <v>260</v>
      </c>
      <c r="D319" s="128" t="s">
        <v>112</v>
      </c>
      <c r="E319" s="128" t="s">
        <v>212</v>
      </c>
      <c r="F319" s="128" t="s">
        <v>213</v>
      </c>
      <c r="G319" s="144">
        <f>'пр. 10 2022г'!G440</f>
        <v>15334.3125</v>
      </c>
      <c r="H319" s="395"/>
    </row>
    <row r="320" spans="1:9" ht="76.5" hidden="1">
      <c r="A320" s="594" t="s">
        <v>789</v>
      </c>
      <c r="B320" s="128" t="s">
        <v>985</v>
      </c>
      <c r="C320" s="128"/>
      <c r="D320" s="128" t="s">
        <v>112</v>
      </c>
      <c r="E320" s="128" t="s">
        <v>212</v>
      </c>
      <c r="F320" s="128" t="s">
        <v>213</v>
      </c>
      <c r="G320" s="144">
        <f>G321</f>
        <v>0</v>
      </c>
      <c r="H320" s="395"/>
    </row>
    <row r="321" spans="1:8" hidden="1">
      <c r="A321" s="135" t="s">
        <v>263</v>
      </c>
      <c r="B321" s="128" t="s">
        <v>985</v>
      </c>
      <c r="C321" s="128" t="s">
        <v>260</v>
      </c>
      <c r="D321" s="128" t="s">
        <v>112</v>
      </c>
      <c r="E321" s="128" t="s">
        <v>212</v>
      </c>
      <c r="F321" s="128" t="s">
        <v>213</v>
      </c>
      <c r="G321" s="144">
        <f>'пр. 10 2022г'!G448</f>
        <v>0</v>
      </c>
      <c r="H321" s="395"/>
    </row>
    <row r="322" spans="1:8" ht="51" hidden="1">
      <c r="A322" s="135" t="s">
        <v>763</v>
      </c>
      <c r="B322" s="632" t="s">
        <v>770</v>
      </c>
      <c r="C322" s="128"/>
      <c r="D322" s="128" t="s">
        <v>112</v>
      </c>
      <c r="E322" s="128" t="s">
        <v>212</v>
      </c>
      <c r="F322" s="128" t="s">
        <v>213</v>
      </c>
      <c r="G322" s="144">
        <f>G323</f>
        <v>0</v>
      </c>
      <c r="H322" s="395"/>
    </row>
    <row r="323" spans="1:8" hidden="1">
      <c r="A323" s="135" t="s">
        <v>263</v>
      </c>
      <c r="B323" s="632" t="s">
        <v>770</v>
      </c>
      <c r="C323" s="128" t="s">
        <v>260</v>
      </c>
      <c r="D323" s="128" t="s">
        <v>112</v>
      </c>
      <c r="E323" s="128" t="s">
        <v>212</v>
      </c>
      <c r="F323" s="128" t="s">
        <v>213</v>
      </c>
      <c r="G323" s="144">
        <f>'пр. 10 2022г'!G450</f>
        <v>0</v>
      </c>
      <c r="H323" s="395"/>
    </row>
    <row r="324" spans="1:8" ht="229.5">
      <c r="A324" s="45" t="s">
        <v>715</v>
      </c>
      <c r="B324" s="649" t="s">
        <v>899</v>
      </c>
      <c r="C324" s="128"/>
      <c r="D324" s="128" t="s">
        <v>112</v>
      </c>
      <c r="E324" s="128" t="s">
        <v>215</v>
      </c>
      <c r="F324" s="128" t="s">
        <v>213</v>
      </c>
      <c r="G324" s="144">
        <f>G325</f>
        <v>100</v>
      </c>
      <c r="H324" s="395"/>
    </row>
    <row r="325" spans="1:8">
      <c r="A325" s="135" t="s">
        <v>263</v>
      </c>
      <c r="B325" s="649" t="s">
        <v>899</v>
      </c>
      <c r="C325" s="128" t="s">
        <v>260</v>
      </c>
      <c r="D325" s="128" t="s">
        <v>112</v>
      </c>
      <c r="E325" s="128" t="s">
        <v>215</v>
      </c>
      <c r="F325" s="128" t="s">
        <v>213</v>
      </c>
      <c r="G325" s="144">
        <f>'пр. 10 2022г'!G535</f>
        <v>100</v>
      </c>
      <c r="H325" s="395"/>
    </row>
    <row r="326" spans="1:8" ht="38.25" hidden="1">
      <c r="A326" s="350" t="s">
        <v>439</v>
      </c>
      <c r="B326" s="348" t="s">
        <v>521</v>
      </c>
      <c r="C326" s="348"/>
      <c r="D326" s="348" t="s">
        <v>112</v>
      </c>
      <c r="E326" s="348" t="s">
        <v>212</v>
      </c>
      <c r="F326" s="348" t="s">
        <v>214</v>
      </c>
      <c r="G326" s="349">
        <f>G327</f>
        <v>300</v>
      </c>
      <c r="H326" s="396"/>
    </row>
    <row r="327" spans="1:8" ht="25.5" hidden="1">
      <c r="A327" s="251" t="s">
        <v>431</v>
      </c>
      <c r="B327" s="128" t="s">
        <v>521</v>
      </c>
      <c r="C327" s="128" t="s">
        <v>158</v>
      </c>
      <c r="D327" s="128" t="s">
        <v>112</v>
      </c>
      <c r="E327" s="128" t="s">
        <v>212</v>
      </c>
      <c r="F327" s="128" t="s">
        <v>214</v>
      </c>
      <c r="G327" s="144">
        <f>G328</f>
        <v>300</v>
      </c>
      <c r="H327" s="395"/>
    </row>
    <row r="328" spans="1:8" ht="38.25" hidden="1">
      <c r="A328" s="251" t="s">
        <v>258</v>
      </c>
      <c r="B328" s="128" t="s">
        <v>521</v>
      </c>
      <c r="C328" s="128" t="s">
        <v>159</v>
      </c>
      <c r="D328" s="128" t="s">
        <v>112</v>
      </c>
      <c r="E328" s="128" t="s">
        <v>212</v>
      </c>
      <c r="F328" s="128" t="s">
        <v>214</v>
      </c>
      <c r="G328" s="144">
        <f>'пр. 10 2022г'!G491</f>
        <v>300</v>
      </c>
      <c r="H328" s="395"/>
    </row>
    <row r="329" spans="1:8" ht="38.25">
      <c r="A329" s="350" t="s">
        <v>446</v>
      </c>
      <c r="B329" s="645" t="s">
        <v>824</v>
      </c>
      <c r="C329" s="351"/>
      <c r="D329" s="348" t="s">
        <v>112</v>
      </c>
      <c r="E329" s="348" t="s">
        <v>212</v>
      </c>
      <c r="F329" s="348" t="s">
        <v>212</v>
      </c>
      <c r="G329" s="349">
        <f>G330</f>
        <v>8266.9136199999994</v>
      </c>
      <c r="H329" s="349" t="e">
        <f>#REF!+H332+H338+H341</f>
        <v>#REF!</v>
      </c>
    </row>
    <row r="330" spans="1:8" ht="25.5">
      <c r="A330" s="350" t="s">
        <v>817</v>
      </c>
      <c r="B330" s="645" t="s">
        <v>825</v>
      </c>
      <c r="C330" s="351"/>
      <c r="D330" s="348" t="s">
        <v>112</v>
      </c>
      <c r="E330" s="348" t="s">
        <v>212</v>
      </c>
      <c r="F330" s="348" t="s">
        <v>212</v>
      </c>
      <c r="G330" s="349">
        <f>G331+G332+G335+G338+G341</f>
        <v>8266.9136199999994</v>
      </c>
      <c r="H330" s="349" t="e">
        <f>H331+H332+H335+H338+H341+#REF!</f>
        <v>#REF!</v>
      </c>
    </row>
    <row r="331" spans="1:8">
      <c r="A331" s="137" t="s">
        <v>338</v>
      </c>
      <c r="B331" s="330" t="s">
        <v>900</v>
      </c>
      <c r="C331" s="128" t="s">
        <v>409</v>
      </c>
      <c r="D331" s="128" t="s">
        <v>112</v>
      </c>
      <c r="E331" s="128" t="s">
        <v>212</v>
      </c>
      <c r="F331" s="128" t="s">
        <v>212</v>
      </c>
      <c r="G331" s="144">
        <f>'пр. 10 2022г'!G461</f>
        <v>1259.8136200000001</v>
      </c>
      <c r="H331" s="144"/>
    </row>
    <row r="332" spans="1:8" ht="38.25">
      <c r="A332" s="68" t="s">
        <v>183</v>
      </c>
      <c r="B332" s="128" t="s">
        <v>901</v>
      </c>
      <c r="C332" s="345"/>
      <c r="D332" s="128" t="s">
        <v>112</v>
      </c>
      <c r="E332" s="128" t="s">
        <v>212</v>
      </c>
      <c r="F332" s="128" t="s">
        <v>212</v>
      </c>
      <c r="G332" s="144">
        <f>G333+G334</f>
        <v>3221.7</v>
      </c>
      <c r="H332" s="144">
        <f t="shared" ref="H332" si="31">H333</f>
        <v>0</v>
      </c>
    </row>
    <row r="333" spans="1:8" ht="38.25">
      <c r="A333" s="68" t="s">
        <v>432</v>
      </c>
      <c r="B333" s="128" t="s">
        <v>901</v>
      </c>
      <c r="C333" s="128" t="s">
        <v>344</v>
      </c>
      <c r="D333" s="128" t="s">
        <v>112</v>
      </c>
      <c r="E333" s="128" t="s">
        <v>212</v>
      </c>
      <c r="F333" s="128" t="s">
        <v>212</v>
      </c>
      <c r="G333" s="144">
        <f>'пр. 10 2022г'!G463</f>
        <v>3221.7</v>
      </c>
      <c r="H333" s="395"/>
    </row>
    <row r="334" spans="1:8" hidden="1">
      <c r="A334" s="135" t="s">
        <v>263</v>
      </c>
      <c r="B334" s="128" t="s">
        <v>901</v>
      </c>
      <c r="C334" s="128" t="s">
        <v>260</v>
      </c>
      <c r="D334" s="128" t="s">
        <v>112</v>
      </c>
      <c r="E334" s="128" t="s">
        <v>212</v>
      </c>
      <c r="F334" s="128" t="s">
        <v>212</v>
      </c>
      <c r="G334" s="144">
        <f>'пр. 10 2022г'!G464</f>
        <v>0</v>
      </c>
      <c r="H334" s="395"/>
    </row>
    <row r="335" spans="1:8" ht="153">
      <c r="A335" s="68" t="s">
        <v>725</v>
      </c>
      <c r="B335" s="128" t="s">
        <v>901</v>
      </c>
      <c r="C335" s="128"/>
      <c r="D335" s="128" t="s">
        <v>112</v>
      </c>
      <c r="E335" s="128" t="s">
        <v>212</v>
      </c>
      <c r="F335" s="128" t="s">
        <v>212</v>
      </c>
      <c r="G335" s="144">
        <f>G337+G336</f>
        <v>15</v>
      </c>
      <c r="H335" s="395"/>
    </row>
    <row r="336" spans="1:8" ht="38.25">
      <c r="A336" s="68" t="s">
        <v>432</v>
      </c>
      <c r="B336" s="128" t="s">
        <v>901</v>
      </c>
      <c r="C336" s="128" t="s">
        <v>344</v>
      </c>
      <c r="D336" s="128" t="s">
        <v>112</v>
      </c>
      <c r="E336" s="128" t="s">
        <v>212</v>
      </c>
      <c r="F336" s="128" t="s">
        <v>212</v>
      </c>
      <c r="G336" s="144">
        <f>'пр. 10 2022г'!G466</f>
        <v>15</v>
      </c>
      <c r="H336" s="395"/>
    </row>
    <row r="337" spans="1:8">
      <c r="A337" s="135" t="s">
        <v>263</v>
      </c>
      <c r="B337" s="128" t="s">
        <v>901</v>
      </c>
      <c r="C337" s="128" t="s">
        <v>260</v>
      </c>
      <c r="D337" s="128" t="s">
        <v>112</v>
      </c>
      <c r="E337" s="128" t="s">
        <v>212</v>
      </c>
      <c r="F337" s="128" t="s">
        <v>212</v>
      </c>
      <c r="G337" s="144">
        <f>'пр. 10 2022г'!G467</f>
        <v>0</v>
      </c>
      <c r="H337" s="395"/>
    </row>
    <row r="338" spans="1:8" ht="38.25">
      <c r="A338" s="68" t="s">
        <v>786</v>
      </c>
      <c r="B338" s="330" t="s">
        <v>902</v>
      </c>
      <c r="C338" s="345"/>
      <c r="D338" s="128" t="s">
        <v>112</v>
      </c>
      <c r="E338" s="128" t="s">
        <v>212</v>
      </c>
      <c r="F338" s="128" t="s">
        <v>212</v>
      </c>
      <c r="G338" s="144">
        <f>G339+G340</f>
        <v>3714.7</v>
      </c>
      <c r="H338" s="144">
        <f t="shared" ref="H338" si="32">H339+H340</f>
        <v>0</v>
      </c>
    </row>
    <row r="339" spans="1:8" ht="38.25">
      <c r="A339" s="68" t="s">
        <v>432</v>
      </c>
      <c r="B339" s="330" t="s">
        <v>902</v>
      </c>
      <c r="C339" s="128" t="s">
        <v>344</v>
      </c>
      <c r="D339" s="128" t="s">
        <v>112</v>
      </c>
      <c r="E339" s="128" t="s">
        <v>212</v>
      </c>
      <c r="F339" s="128" t="s">
        <v>212</v>
      </c>
      <c r="G339" s="144">
        <f>'пр. 10 2022г'!G469</f>
        <v>3714.7</v>
      </c>
      <c r="H339" s="354"/>
    </row>
    <row r="340" spans="1:8" hidden="1">
      <c r="A340" s="135" t="s">
        <v>263</v>
      </c>
      <c r="B340" s="330" t="s">
        <v>902</v>
      </c>
      <c r="C340" s="128" t="s">
        <v>260</v>
      </c>
      <c r="D340" s="128" t="s">
        <v>112</v>
      </c>
      <c r="E340" s="128" t="s">
        <v>212</v>
      </c>
      <c r="F340" s="128" t="s">
        <v>212</v>
      </c>
      <c r="G340" s="144">
        <f>'пр. 10 2022г'!G470</f>
        <v>0</v>
      </c>
      <c r="H340" s="354"/>
    </row>
    <row r="341" spans="1:8" ht="38.25">
      <c r="A341" s="134" t="s">
        <v>787</v>
      </c>
      <c r="B341" s="330" t="s">
        <v>903</v>
      </c>
      <c r="C341" s="128"/>
      <c r="D341" s="128" t="s">
        <v>112</v>
      </c>
      <c r="E341" s="128" t="s">
        <v>212</v>
      </c>
      <c r="F341" s="128" t="s">
        <v>212</v>
      </c>
      <c r="G341" s="144">
        <f>G342+G343+G344</f>
        <v>55.7</v>
      </c>
      <c r="H341" s="144">
        <f>H342+H344</f>
        <v>0</v>
      </c>
    </row>
    <row r="342" spans="1:8" ht="63.75">
      <c r="A342" s="134" t="s">
        <v>157</v>
      </c>
      <c r="B342" s="330" t="s">
        <v>903</v>
      </c>
      <c r="C342" s="128" t="s">
        <v>423</v>
      </c>
      <c r="D342" s="128" t="s">
        <v>112</v>
      </c>
      <c r="E342" s="128" t="s">
        <v>212</v>
      </c>
      <c r="F342" s="128" t="s">
        <v>212</v>
      </c>
      <c r="G342" s="144">
        <f>'пр. 10 2022г'!G474</f>
        <v>32.649000000000001</v>
      </c>
      <c r="H342" s="144"/>
    </row>
    <row r="343" spans="1:8" ht="25.5">
      <c r="A343" s="134" t="s">
        <v>571</v>
      </c>
      <c r="B343" s="330" t="s">
        <v>903</v>
      </c>
      <c r="C343" s="330">
        <v>119</v>
      </c>
      <c r="D343" s="128" t="s">
        <v>112</v>
      </c>
      <c r="E343" s="128" t="s">
        <v>212</v>
      </c>
      <c r="F343" s="128" t="s">
        <v>212</v>
      </c>
      <c r="G343" s="144">
        <f>'пр. 10 2022г'!G475</f>
        <v>9.8789999999999996</v>
      </c>
      <c r="H343" s="144"/>
    </row>
    <row r="344" spans="1:8" ht="38.25">
      <c r="A344" s="138" t="s">
        <v>267</v>
      </c>
      <c r="B344" s="330" t="s">
        <v>903</v>
      </c>
      <c r="C344" s="330">
        <v>240</v>
      </c>
      <c r="D344" s="128" t="s">
        <v>112</v>
      </c>
      <c r="E344" s="128" t="s">
        <v>212</v>
      </c>
      <c r="F344" s="128" t="s">
        <v>212</v>
      </c>
      <c r="G344" s="144">
        <f>'пр. 10 2022г'!G476</f>
        <v>13.172000000000001</v>
      </c>
      <c r="H344" s="144"/>
    </row>
    <row r="345" spans="1:8" ht="51">
      <c r="A345" s="726" t="s">
        <v>971</v>
      </c>
      <c r="B345" s="727" t="s">
        <v>982</v>
      </c>
      <c r="C345" s="727"/>
      <c r="D345" s="728" t="s">
        <v>112</v>
      </c>
      <c r="E345" s="728" t="s">
        <v>212</v>
      </c>
      <c r="F345" s="728" t="s">
        <v>915</v>
      </c>
      <c r="G345" s="729">
        <f>G346</f>
        <v>13035.801000000001</v>
      </c>
      <c r="H345" s="729"/>
    </row>
    <row r="346" spans="1:8" ht="38.25">
      <c r="A346" s="726" t="s">
        <v>972</v>
      </c>
      <c r="B346" s="727" t="s">
        <v>979</v>
      </c>
      <c r="C346" s="727"/>
      <c r="D346" s="728" t="s">
        <v>112</v>
      </c>
      <c r="E346" s="728" t="s">
        <v>212</v>
      </c>
      <c r="F346" s="728" t="s">
        <v>915</v>
      </c>
      <c r="G346" s="729">
        <f>G347+G348+G349+G350+G351</f>
        <v>13035.801000000001</v>
      </c>
      <c r="H346" s="729"/>
    </row>
    <row r="347" spans="1:8">
      <c r="A347" s="134" t="s">
        <v>494</v>
      </c>
      <c r="B347" s="128" t="s">
        <v>977</v>
      </c>
      <c r="C347" s="733">
        <v>612</v>
      </c>
      <c r="D347" s="632" t="s">
        <v>112</v>
      </c>
      <c r="E347" s="632" t="s">
        <v>212</v>
      </c>
      <c r="F347" s="632" t="s">
        <v>210</v>
      </c>
      <c r="G347" s="391">
        <f>'пр. 10 2022г'!G361</f>
        <v>2160.3560000000002</v>
      </c>
      <c r="H347" s="391"/>
    </row>
    <row r="348" spans="1:8">
      <c r="A348" s="135" t="s">
        <v>340</v>
      </c>
      <c r="B348" s="128" t="s">
        <v>977</v>
      </c>
      <c r="C348" s="733">
        <v>622</v>
      </c>
      <c r="D348" s="632" t="s">
        <v>112</v>
      </c>
      <c r="E348" s="632" t="s">
        <v>212</v>
      </c>
      <c r="F348" s="632" t="s">
        <v>210</v>
      </c>
      <c r="G348" s="391">
        <f>'пр. 10 2022г'!G362</f>
        <v>1096.8</v>
      </c>
      <c r="H348" s="391"/>
    </row>
    <row r="349" spans="1:8">
      <c r="A349" s="134" t="s">
        <v>494</v>
      </c>
      <c r="B349" s="128" t="s">
        <v>977</v>
      </c>
      <c r="C349" s="733">
        <v>612</v>
      </c>
      <c r="D349" s="632" t="s">
        <v>112</v>
      </c>
      <c r="E349" s="632" t="s">
        <v>212</v>
      </c>
      <c r="F349" s="632" t="s">
        <v>211</v>
      </c>
      <c r="G349" s="391">
        <f>'пр. 10 2022г'!G415</f>
        <v>8561.2450000000008</v>
      </c>
      <c r="H349" s="391"/>
    </row>
    <row r="350" spans="1:8">
      <c r="A350" s="134" t="s">
        <v>494</v>
      </c>
      <c r="B350" s="128" t="s">
        <v>977</v>
      </c>
      <c r="C350" s="733">
        <v>612</v>
      </c>
      <c r="D350" s="632" t="s">
        <v>112</v>
      </c>
      <c r="E350" s="632" t="s">
        <v>212</v>
      </c>
      <c r="F350" s="632" t="s">
        <v>213</v>
      </c>
      <c r="G350" s="391">
        <f>'пр. 10 2022г'!G453</f>
        <v>120</v>
      </c>
      <c r="H350" s="391"/>
    </row>
    <row r="351" spans="1:8">
      <c r="A351" s="135" t="s">
        <v>340</v>
      </c>
      <c r="B351" s="128" t="s">
        <v>977</v>
      </c>
      <c r="C351" s="733">
        <v>622</v>
      </c>
      <c r="D351" s="632" t="s">
        <v>112</v>
      </c>
      <c r="E351" s="632" t="s">
        <v>212</v>
      </c>
      <c r="F351" s="632" t="s">
        <v>212</v>
      </c>
      <c r="G351" s="391">
        <f>'пр. 10 2022г'!G479</f>
        <v>1097.4000000000001</v>
      </c>
      <c r="H351" s="391"/>
    </row>
    <row r="352" spans="1:8" ht="25.5">
      <c r="A352" s="726" t="s">
        <v>973</v>
      </c>
      <c r="B352" s="727" t="s">
        <v>980</v>
      </c>
      <c r="C352" s="727"/>
      <c r="D352" s="728" t="s">
        <v>112</v>
      </c>
      <c r="E352" s="728" t="s">
        <v>212</v>
      </c>
      <c r="F352" s="728" t="s">
        <v>990</v>
      </c>
      <c r="G352" s="729">
        <f>G353</f>
        <v>726.28</v>
      </c>
      <c r="H352" s="729"/>
    </row>
    <row r="353" spans="1:9" ht="25.5">
      <c r="A353" s="726" t="s">
        <v>987</v>
      </c>
      <c r="B353" s="727" t="s">
        <v>981</v>
      </c>
      <c r="C353" s="727"/>
      <c r="D353" s="728" t="s">
        <v>112</v>
      </c>
      <c r="E353" s="728" t="s">
        <v>212</v>
      </c>
      <c r="F353" s="728" t="s">
        <v>990</v>
      </c>
      <c r="G353" s="729">
        <f>G356+G359+G362+G354+G361</f>
        <v>726.28</v>
      </c>
      <c r="H353" s="729">
        <f t="shared" ref="H353" si="33">H356+H359+H362</f>
        <v>0</v>
      </c>
    </row>
    <row r="354" spans="1:9" s="214" customFormat="1" ht="25.5" hidden="1">
      <c r="A354" s="1" t="s">
        <v>1055</v>
      </c>
      <c r="B354" s="733" t="s">
        <v>986</v>
      </c>
      <c r="C354" s="632"/>
      <c r="D354" s="632" t="s">
        <v>112</v>
      </c>
      <c r="E354" s="632" t="s">
        <v>212</v>
      </c>
      <c r="F354" s="632" t="s">
        <v>211</v>
      </c>
      <c r="G354" s="391">
        <f>G355</f>
        <v>0</v>
      </c>
      <c r="H354" s="391"/>
    </row>
    <row r="355" spans="1:9" s="214" customFormat="1" hidden="1">
      <c r="A355" s="134" t="s">
        <v>263</v>
      </c>
      <c r="B355" s="733" t="s">
        <v>986</v>
      </c>
      <c r="C355" s="632" t="s">
        <v>260</v>
      </c>
      <c r="D355" s="632" t="s">
        <v>112</v>
      </c>
      <c r="E355" s="632" t="s">
        <v>212</v>
      </c>
      <c r="F355" s="632" t="s">
        <v>211</v>
      </c>
      <c r="G355" s="391">
        <f>'пр. 10 2022г'!G419</f>
        <v>0</v>
      </c>
      <c r="H355" s="391"/>
    </row>
    <row r="356" spans="1:9" ht="51">
      <c r="A356" s="135" t="s">
        <v>672</v>
      </c>
      <c r="B356" s="632" t="s">
        <v>983</v>
      </c>
      <c r="C356" s="733"/>
      <c r="D356" s="632" t="s">
        <v>112</v>
      </c>
      <c r="E356" s="632" t="s">
        <v>212</v>
      </c>
      <c r="F356" s="632" t="s">
        <v>211</v>
      </c>
      <c r="G356" s="391">
        <f>G358+G357</f>
        <v>614</v>
      </c>
      <c r="H356" s="391"/>
    </row>
    <row r="357" spans="1:9" hidden="1">
      <c r="A357" s="134" t="s">
        <v>494</v>
      </c>
      <c r="B357" s="632" t="s">
        <v>983</v>
      </c>
      <c r="C357" s="733">
        <v>612</v>
      </c>
      <c r="D357" s="632" t="s">
        <v>112</v>
      </c>
      <c r="E357" s="632" t="s">
        <v>212</v>
      </c>
      <c r="F357" s="632" t="s">
        <v>210</v>
      </c>
      <c r="G357" s="391">
        <f>'пр. 10 2022г'!G366</f>
        <v>0</v>
      </c>
      <c r="H357" s="391"/>
    </row>
    <row r="358" spans="1:9">
      <c r="A358" s="134" t="s">
        <v>494</v>
      </c>
      <c r="B358" s="632" t="s">
        <v>983</v>
      </c>
      <c r="C358" s="733">
        <v>612</v>
      </c>
      <c r="D358" s="632" t="s">
        <v>112</v>
      </c>
      <c r="E358" s="632" t="s">
        <v>212</v>
      </c>
      <c r="F358" s="632" t="s">
        <v>211</v>
      </c>
      <c r="G358" s="391">
        <f>'пр. 10 2022г'!G421</f>
        <v>614</v>
      </c>
      <c r="H358" s="391"/>
    </row>
    <row r="359" spans="1:9" ht="63.75">
      <c r="A359" s="135" t="s">
        <v>673</v>
      </c>
      <c r="B359" s="632" t="s">
        <v>983</v>
      </c>
      <c r="C359" s="733"/>
      <c r="D359" s="632" t="s">
        <v>112</v>
      </c>
      <c r="E359" s="632" t="s">
        <v>212</v>
      </c>
      <c r="F359" s="632" t="s">
        <v>211</v>
      </c>
      <c r="G359" s="391">
        <f>G360</f>
        <v>12.28</v>
      </c>
      <c r="H359" s="391"/>
    </row>
    <row r="360" spans="1:9">
      <c r="A360" s="134" t="s">
        <v>494</v>
      </c>
      <c r="B360" s="632" t="s">
        <v>983</v>
      </c>
      <c r="C360" s="733">
        <v>612</v>
      </c>
      <c r="D360" s="632" t="s">
        <v>112</v>
      </c>
      <c r="E360" s="632" t="s">
        <v>212</v>
      </c>
      <c r="F360" s="632" t="s">
        <v>211</v>
      </c>
      <c r="G360" s="391">
        <f>'пр. 10 2022г'!G423</f>
        <v>12.28</v>
      </c>
      <c r="H360" s="391"/>
    </row>
    <row r="361" spans="1:9" hidden="1">
      <c r="A361" s="134" t="s">
        <v>494</v>
      </c>
      <c r="B361" s="632" t="s">
        <v>983</v>
      </c>
      <c r="C361" s="733">
        <v>612</v>
      </c>
      <c r="D361" s="632" t="s">
        <v>112</v>
      </c>
      <c r="E361" s="632" t="s">
        <v>212</v>
      </c>
      <c r="F361" s="632" t="s">
        <v>210</v>
      </c>
      <c r="G361" s="391">
        <f>'пр. 10 2022г'!G368</f>
        <v>0</v>
      </c>
      <c r="H361" s="391"/>
    </row>
    <row r="362" spans="1:9" ht="25.5">
      <c r="A362" s="1" t="s">
        <v>1055</v>
      </c>
      <c r="B362" s="733" t="s">
        <v>986</v>
      </c>
      <c r="C362" s="733"/>
      <c r="D362" s="632" t="s">
        <v>112</v>
      </c>
      <c r="E362" s="632" t="s">
        <v>212</v>
      </c>
      <c r="F362" s="632" t="s">
        <v>214</v>
      </c>
      <c r="G362" s="391">
        <f>G363</f>
        <v>100</v>
      </c>
      <c r="H362" s="391"/>
    </row>
    <row r="363" spans="1:9" ht="51">
      <c r="A363" s="328" t="s">
        <v>720</v>
      </c>
      <c r="B363" s="733" t="s">
        <v>986</v>
      </c>
      <c r="C363" s="733">
        <v>113</v>
      </c>
      <c r="D363" s="632" t="s">
        <v>112</v>
      </c>
      <c r="E363" s="632" t="s">
        <v>212</v>
      </c>
      <c r="F363" s="632" t="s">
        <v>214</v>
      </c>
      <c r="G363" s="391">
        <f>'пр. 10 2022г'!G527</f>
        <v>100</v>
      </c>
      <c r="H363" s="391"/>
    </row>
    <row r="364" spans="1:9" ht="38.25">
      <c r="A364" s="480" t="s">
        <v>439</v>
      </c>
      <c r="B364" s="650" t="s">
        <v>905</v>
      </c>
      <c r="C364" s="481"/>
      <c r="D364" s="128" t="s">
        <v>112</v>
      </c>
      <c r="E364" s="128" t="s">
        <v>212</v>
      </c>
      <c r="F364" s="128" t="s">
        <v>214</v>
      </c>
      <c r="G364" s="482">
        <f>G365</f>
        <v>300</v>
      </c>
      <c r="H364" s="482" t="e">
        <f>#REF!</f>
        <v>#REF!</v>
      </c>
    </row>
    <row r="365" spans="1:9" ht="38.25">
      <c r="A365" s="480" t="s">
        <v>831</v>
      </c>
      <c r="B365" s="650" t="s">
        <v>904</v>
      </c>
      <c r="C365" s="481"/>
      <c r="D365" s="128" t="s">
        <v>112</v>
      </c>
      <c r="E365" s="128" t="s">
        <v>212</v>
      </c>
      <c r="F365" s="128" t="s">
        <v>214</v>
      </c>
      <c r="G365" s="482">
        <f>G366</f>
        <v>300</v>
      </c>
      <c r="H365" s="482"/>
    </row>
    <row r="366" spans="1:9" ht="38.25">
      <c r="A366" s="651" t="s">
        <v>267</v>
      </c>
      <c r="B366" s="120" t="s">
        <v>904</v>
      </c>
      <c r="C366" s="120" t="s">
        <v>401</v>
      </c>
      <c r="D366" s="128" t="s">
        <v>112</v>
      </c>
      <c r="E366" s="128" t="s">
        <v>212</v>
      </c>
      <c r="F366" s="128" t="s">
        <v>214</v>
      </c>
      <c r="G366" s="393">
        <f>'пр. 10 2022г'!G491</f>
        <v>300</v>
      </c>
      <c r="H366" s="393"/>
    </row>
    <row r="367" spans="1:9" ht="38.25">
      <c r="A367" s="652" t="s">
        <v>833</v>
      </c>
      <c r="B367" s="622" t="s">
        <v>835</v>
      </c>
      <c r="C367" s="348"/>
      <c r="D367" s="128" t="s">
        <v>112</v>
      </c>
      <c r="E367" s="128" t="s">
        <v>212</v>
      </c>
      <c r="F367" s="128" t="s">
        <v>214</v>
      </c>
      <c r="G367" s="653">
        <f>G368</f>
        <v>19778.438469999994</v>
      </c>
      <c r="H367" s="653">
        <f t="shared" ref="H367" si="34">H368</f>
        <v>0</v>
      </c>
      <c r="I367" s="599" t="e">
        <f>#REF!-#REF!</f>
        <v>#REF!</v>
      </c>
    </row>
    <row r="368" spans="1:9" ht="51">
      <c r="A368" s="138" t="s">
        <v>834</v>
      </c>
      <c r="B368" s="622" t="s">
        <v>836</v>
      </c>
      <c r="C368" s="120"/>
      <c r="D368" s="128" t="s">
        <v>112</v>
      </c>
      <c r="E368" s="128" t="s">
        <v>212</v>
      </c>
      <c r="F368" s="128" t="s">
        <v>214</v>
      </c>
      <c r="G368" s="393">
        <f>G369+G372+G382+G385+G388+G391</f>
        <v>19778.438469999994</v>
      </c>
      <c r="H368" s="393">
        <f>H369+H372+H382+H385+H388+H391</f>
        <v>0</v>
      </c>
    </row>
    <row r="369" spans="1:8" ht="51">
      <c r="A369" s="138" t="s">
        <v>834</v>
      </c>
      <c r="B369" s="120" t="s">
        <v>838</v>
      </c>
      <c r="C369" s="142"/>
      <c r="D369" s="128" t="s">
        <v>112</v>
      </c>
      <c r="E369" s="128" t="s">
        <v>212</v>
      </c>
      <c r="F369" s="128" t="s">
        <v>214</v>
      </c>
      <c r="G369" s="393">
        <f>G370+G371</f>
        <v>1363.0641800000001</v>
      </c>
      <c r="H369" s="393"/>
    </row>
    <row r="370" spans="1:8" ht="25.5">
      <c r="A370" s="134" t="s">
        <v>415</v>
      </c>
      <c r="B370" s="120" t="s">
        <v>838</v>
      </c>
      <c r="C370" s="520">
        <v>121</v>
      </c>
      <c r="D370" s="128" t="s">
        <v>112</v>
      </c>
      <c r="E370" s="128" t="s">
        <v>212</v>
      </c>
      <c r="F370" s="128" t="s">
        <v>214</v>
      </c>
      <c r="G370" s="393">
        <f>'пр. 10 2022г'!G500</f>
        <v>1046.90029</v>
      </c>
      <c r="H370" s="393"/>
    </row>
    <row r="371" spans="1:8" ht="51">
      <c r="A371" s="571" t="s">
        <v>416</v>
      </c>
      <c r="B371" s="120" t="s">
        <v>838</v>
      </c>
      <c r="C371" s="520">
        <v>129</v>
      </c>
      <c r="D371" s="128" t="s">
        <v>112</v>
      </c>
      <c r="E371" s="128" t="s">
        <v>212</v>
      </c>
      <c r="F371" s="128" t="s">
        <v>214</v>
      </c>
      <c r="G371" s="393">
        <f>'пр. 10 2022г'!G501</f>
        <v>316.16388999999998</v>
      </c>
      <c r="H371" s="393"/>
    </row>
    <row r="372" spans="1:8" ht="51">
      <c r="A372" s="68" t="s">
        <v>377</v>
      </c>
      <c r="B372" s="120" t="s">
        <v>864</v>
      </c>
      <c r="C372" s="142"/>
      <c r="D372" s="128" t="s">
        <v>112</v>
      </c>
      <c r="E372" s="128" t="s">
        <v>212</v>
      </c>
      <c r="F372" s="128" t="s">
        <v>214</v>
      </c>
      <c r="G372" s="393">
        <f>G373+G375+G376+G377+G378+G380+G381+G379+G374</f>
        <v>8296.1982900000003</v>
      </c>
      <c r="H372" s="393"/>
    </row>
    <row r="373" spans="1:8">
      <c r="A373" s="328" t="s">
        <v>600</v>
      </c>
      <c r="B373" s="120" t="s">
        <v>864</v>
      </c>
      <c r="C373" s="632" t="s">
        <v>423</v>
      </c>
      <c r="D373" s="128" t="s">
        <v>112</v>
      </c>
      <c r="E373" s="128" t="s">
        <v>212</v>
      </c>
      <c r="F373" s="128" t="s">
        <v>214</v>
      </c>
      <c r="G373" s="393">
        <f>'пр. 10 2022г'!G503</f>
        <v>3114.99269</v>
      </c>
      <c r="H373" s="393"/>
    </row>
    <row r="374" spans="1:8" ht="31.5">
      <c r="A374" s="206" t="s">
        <v>1078</v>
      </c>
      <c r="B374" s="120" t="s">
        <v>864</v>
      </c>
      <c r="C374" s="632" t="s">
        <v>424</v>
      </c>
      <c r="D374" s="128" t="s">
        <v>112</v>
      </c>
      <c r="E374" s="128" t="s">
        <v>212</v>
      </c>
      <c r="F374" s="128" t="s">
        <v>214</v>
      </c>
      <c r="G374" s="393">
        <f>'пр. 10 2022г'!G504</f>
        <v>120</v>
      </c>
      <c r="H374" s="393"/>
    </row>
    <row r="375" spans="1:8" ht="51" hidden="1">
      <c r="A375" s="328" t="s">
        <v>720</v>
      </c>
      <c r="B375" s="120" t="s">
        <v>864</v>
      </c>
      <c r="C375" s="632" t="s">
        <v>719</v>
      </c>
      <c r="D375" s="128" t="s">
        <v>112</v>
      </c>
      <c r="E375" s="128" t="s">
        <v>212</v>
      </c>
      <c r="F375" s="128" t="s">
        <v>214</v>
      </c>
      <c r="G375" s="393">
        <f>'пр. 10 2022г'!G505</f>
        <v>0</v>
      </c>
      <c r="H375" s="393"/>
    </row>
    <row r="376" spans="1:8" ht="51">
      <c r="A376" s="328" t="s">
        <v>601</v>
      </c>
      <c r="B376" s="120" t="s">
        <v>864</v>
      </c>
      <c r="C376" s="632" t="s">
        <v>425</v>
      </c>
      <c r="D376" s="128" t="s">
        <v>112</v>
      </c>
      <c r="E376" s="128" t="s">
        <v>212</v>
      </c>
      <c r="F376" s="128" t="s">
        <v>214</v>
      </c>
      <c r="G376" s="393">
        <f>'пр. 10 2022г'!G506</f>
        <v>940.72779000000003</v>
      </c>
      <c r="H376" s="393"/>
    </row>
    <row r="377" spans="1:8" ht="25.5">
      <c r="A377" s="608" t="s">
        <v>406</v>
      </c>
      <c r="B377" s="120" t="s">
        <v>864</v>
      </c>
      <c r="C377" s="632" t="s">
        <v>407</v>
      </c>
      <c r="D377" s="128" t="s">
        <v>112</v>
      </c>
      <c r="E377" s="128" t="s">
        <v>212</v>
      </c>
      <c r="F377" s="128" t="s">
        <v>214</v>
      </c>
      <c r="G377" s="393">
        <f>'пр. 10 2022г'!G507</f>
        <v>521.79999999999995</v>
      </c>
      <c r="H377" s="393"/>
    </row>
    <row r="378" spans="1:8" ht="38.25">
      <c r="A378" s="138" t="s">
        <v>267</v>
      </c>
      <c r="B378" s="120" t="s">
        <v>864</v>
      </c>
      <c r="C378" s="632" t="s">
        <v>401</v>
      </c>
      <c r="D378" s="128" t="s">
        <v>112</v>
      </c>
      <c r="E378" s="128" t="s">
        <v>212</v>
      </c>
      <c r="F378" s="128" t="s">
        <v>214</v>
      </c>
      <c r="G378" s="393">
        <f>'пр. 10 2022г'!G508</f>
        <v>3033.8376599999997</v>
      </c>
      <c r="H378" s="393"/>
    </row>
    <row r="379" spans="1:8">
      <c r="A379" s="138" t="s">
        <v>1026</v>
      </c>
      <c r="B379" s="120" t="s">
        <v>864</v>
      </c>
      <c r="C379" s="632" t="s">
        <v>1025</v>
      </c>
      <c r="D379" s="128" t="s">
        <v>112</v>
      </c>
      <c r="E379" s="128" t="s">
        <v>212</v>
      </c>
      <c r="F379" s="128" t="s">
        <v>214</v>
      </c>
      <c r="G379" s="393">
        <f>'пр. 10 2022г'!G509</f>
        <v>533.76014999999995</v>
      </c>
      <c r="H379" s="393"/>
    </row>
    <row r="380" spans="1:8" ht="25.5">
      <c r="A380" s="134" t="s">
        <v>403</v>
      </c>
      <c r="B380" s="120" t="s">
        <v>864</v>
      </c>
      <c r="C380" s="347">
        <v>851</v>
      </c>
      <c r="D380" s="128" t="s">
        <v>112</v>
      </c>
      <c r="E380" s="128" t="s">
        <v>212</v>
      </c>
      <c r="F380" s="128" t="s">
        <v>214</v>
      </c>
      <c r="G380" s="393">
        <f>'пр. 10 2022г'!G510</f>
        <v>4.9000000000000004</v>
      </c>
      <c r="H380" s="393"/>
    </row>
    <row r="381" spans="1:8">
      <c r="A381" s="134" t="s">
        <v>268</v>
      </c>
      <c r="B381" s="120" t="s">
        <v>864</v>
      </c>
      <c r="C381" s="347">
        <v>852</v>
      </c>
      <c r="D381" s="128" t="s">
        <v>112</v>
      </c>
      <c r="E381" s="128" t="s">
        <v>212</v>
      </c>
      <c r="F381" s="128" t="s">
        <v>214</v>
      </c>
      <c r="G381" s="393">
        <f>'пр. 10 2022г'!G511</f>
        <v>26.18</v>
      </c>
      <c r="H381" s="393"/>
    </row>
    <row r="382" spans="1:8" ht="38.25">
      <c r="A382" s="134" t="s">
        <v>426</v>
      </c>
      <c r="B382" s="120" t="s">
        <v>865</v>
      </c>
      <c r="C382" s="347"/>
      <c r="D382" s="128" t="s">
        <v>112</v>
      </c>
      <c r="E382" s="128" t="s">
        <v>212</v>
      </c>
      <c r="F382" s="128" t="s">
        <v>214</v>
      </c>
      <c r="G382" s="393">
        <f>G383+G384</f>
        <v>48.300000000000004</v>
      </c>
      <c r="H382" s="393">
        <f t="shared" ref="H382" si="35">H383+H384</f>
        <v>0</v>
      </c>
    </row>
    <row r="383" spans="1:8">
      <c r="A383" s="328" t="s">
        <v>600</v>
      </c>
      <c r="B383" s="120" t="s">
        <v>865</v>
      </c>
      <c r="C383" s="347">
        <v>111</v>
      </c>
      <c r="D383" s="128" t="s">
        <v>112</v>
      </c>
      <c r="E383" s="128" t="s">
        <v>212</v>
      </c>
      <c r="F383" s="128" t="s">
        <v>214</v>
      </c>
      <c r="G383" s="393">
        <f>'пр. 10 2022г'!G513</f>
        <v>37.096780000000003</v>
      </c>
      <c r="H383" s="393"/>
    </row>
    <row r="384" spans="1:8" ht="51">
      <c r="A384" s="328" t="s">
        <v>601</v>
      </c>
      <c r="B384" s="120" t="s">
        <v>865</v>
      </c>
      <c r="C384" s="347">
        <v>119</v>
      </c>
      <c r="D384" s="128" t="s">
        <v>112</v>
      </c>
      <c r="E384" s="128" t="s">
        <v>212</v>
      </c>
      <c r="F384" s="128" t="s">
        <v>214</v>
      </c>
      <c r="G384" s="393">
        <f>'пр. 10 2022г'!G514</f>
        <v>11.20322</v>
      </c>
      <c r="H384" s="393"/>
    </row>
    <row r="385" spans="1:8" ht="102">
      <c r="A385" s="68" t="s">
        <v>546</v>
      </c>
      <c r="B385" s="120" t="s">
        <v>866</v>
      </c>
      <c r="C385" s="142"/>
      <c r="D385" s="128" t="s">
        <v>112</v>
      </c>
      <c r="E385" s="128" t="s">
        <v>212</v>
      </c>
      <c r="F385" s="128" t="s">
        <v>214</v>
      </c>
      <c r="G385" s="393">
        <f>G386+G387</f>
        <v>84.800000000000011</v>
      </c>
      <c r="H385" s="393"/>
    </row>
    <row r="386" spans="1:8">
      <c r="A386" s="328" t="s">
        <v>600</v>
      </c>
      <c r="B386" s="120" t="s">
        <v>866</v>
      </c>
      <c r="C386" s="120" t="s">
        <v>423</v>
      </c>
      <c r="D386" s="128" t="s">
        <v>112</v>
      </c>
      <c r="E386" s="128" t="s">
        <v>212</v>
      </c>
      <c r="F386" s="128" t="s">
        <v>214</v>
      </c>
      <c r="G386" s="393">
        <f>'пр. 10 2022г'!G516</f>
        <v>65.130570000000006</v>
      </c>
      <c r="H386" s="393"/>
    </row>
    <row r="387" spans="1:8" ht="51">
      <c r="A387" s="328" t="s">
        <v>601</v>
      </c>
      <c r="B387" s="120" t="s">
        <v>866</v>
      </c>
      <c r="C387" s="120" t="s">
        <v>425</v>
      </c>
      <c r="D387" s="128" t="s">
        <v>112</v>
      </c>
      <c r="E387" s="128" t="s">
        <v>212</v>
      </c>
      <c r="F387" s="128" t="s">
        <v>214</v>
      </c>
      <c r="G387" s="393">
        <f>'пр. 10 2022г'!G517</f>
        <v>19.669429999999998</v>
      </c>
      <c r="H387" s="393"/>
    </row>
    <row r="388" spans="1:8" ht="76.5">
      <c r="A388" s="594" t="s">
        <v>789</v>
      </c>
      <c r="B388" s="120" t="s">
        <v>867</v>
      </c>
      <c r="C388" s="142"/>
      <c r="D388" s="128" t="s">
        <v>112</v>
      </c>
      <c r="E388" s="128" t="s">
        <v>212</v>
      </c>
      <c r="F388" s="128" t="s">
        <v>214</v>
      </c>
      <c r="G388" s="393">
        <f>G389+G390</f>
        <v>9705.155999999999</v>
      </c>
      <c r="H388" s="393">
        <f t="shared" ref="H388" si="36">H389+H390</f>
        <v>0</v>
      </c>
    </row>
    <row r="389" spans="1:8">
      <c r="A389" s="328" t="s">
        <v>600</v>
      </c>
      <c r="B389" s="120" t="s">
        <v>867</v>
      </c>
      <c r="C389" s="120" t="s">
        <v>423</v>
      </c>
      <c r="D389" s="128" t="s">
        <v>112</v>
      </c>
      <c r="E389" s="128" t="s">
        <v>212</v>
      </c>
      <c r="F389" s="128" t="s">
        <v>214</v>
      </c>
      <c r="G389" s="393">
        <f>'пр. 10 2022г'!G519</f>
        <v>7454.0368699999999</v>
      </c>
      <c r="H389" s="393"/>
    </row>
    <row r="390" spans="1:8" ht="51">
      <c r="A390" s="137" t="s">
        <v>601</v>
      </c>
      <c r="B390" s="120" t="s">
        <v>867</v>
      </c>
      <c r="C390" s="120" t="s">
        <v>425</v>
      </c>
      <c r="D390" s="128" t="s">
        <v>112</v>
      </c>
      <c r="E390" s="128" t="s">
        <v>212</v>
      </c>
      <c r="F390" s="128" t="s">
        <v>214</v>
      </c>
      <c r="G390" s="393">
        <f>'пр. 10 2022г'!G520</f>
        <v>2251.11913</v>
      </c>
      <c r="H390" s="393"/>
    </row>
    <row r="391" spans="1:8" ht="89.25">
      <c r="A391" s="594" t="s">
        <v>790</v>
      </c>
      <c r="B391" s="120" t="s">
        <v>867</v>
      </c>
      <c r="C391" s="142"/>
      <c r="D391" s="128" t="s">
        <v>112</v>
      </c>
      <c r="E391" s="128" t="s">
        <v>212</v>
      </c>
      <c r="F391" s="128" t="s">
        <v>214</v>
      </c>
      <c r="G391" s="393">
        <f>G392+G393</f>
        <v>280.92</v>
      </c>
      <c r="H391" s="393">
        <f t="shared" ref="H391" si="37">H392+H393</f>
        <v>0</v>
      </c>
    </row>
    <row r="392" spans="1:8">
      <c r="A392" s="134" t="s">
        <v>600</v>
      </c>
      <c r="B392" s="120" t="s">
        <v>867</v>
      </c>
      <c r="C392" s="120" t="s">
        <v>423</v>
      </c>
      <c r="D392" s="128" t="s">
        <v>112</v>
      </c>
      <c r="E392" s="128" t="s">
        <v>212</v>
      </c>
      <c r="F392" s="128" t="s">
        <v>214</v>
      </c>
      <c r="G392" s="393">
        <f>'пр. 10 2022г'!G522</f>
        <v>215.76036999999999</v>
      </c>
      <c r="H392" s="393"/>
    </row>
    <row r="393" spans="1:8" ht="51">
      <c r="A393" s="137" t="s">
        <v>601</v>
      </c>
      <c r="B393" s="120" t="s">
        <v>867</v>
      </c>
      <c r="C393" s="120" t="s">
        <v>425</v>
      </c>
      <c r="D393" s="128" t="s">
        <v>112</v>
      </c>
      <c r="E393" s="128" t="s">
        <v>212</v>
      </c>
      <c r="F393" s="128" t="s">
        <v>214</v>
      </c>
      <c r="G393" s="393">
        <f>'пр. 10 2022г'!G523</f>
        <v>65.159630000000007</v>
      </c>
      <c r="H393" s="393"/>
    </row>
    <row r="394" spans="1:8" ht="38.25">
      <c r="A394" s="473" t="s">
        <v>781</v>
      </c>
      <c r="B394" s="618" t="s">
        <v>755</v>
      </c>
      <c r="C394" s="368"/>
      <c r="D394" s="368" t="s">
        <v>198</v>
      </c>
      <c r="E394" s="368"/>
      <c r="F394" s="368"/>
      <c r="G394" s="619">
        <f>G395</f>
        <v>113.0228</v>
      </c>
      <c r="H394" s="619"/>
    </row>
    <row r="395" spans="1:8" ht="25.5">
      <c r="A395" s="134" t="s">
        <v>881</v>
      </c>
      <c r="B395" s="128" t="s">
        <v>755</v>
      </c>
      <c r="C395" s="120"/>
      <c r="D395" s="128" t="s">
        <v>198</v>
      </c>
      <c r="E395" s="128" t="s">
        <v>223</v>
      </c>
      <c r="F395" s="128" t="s">
        <v>213</v>
      </c>
      <c r="G395" s="144">
        <f>G396</f>
        <v>113.0228</v>
      </c>
      <c r="H395" s="144"/>
    </row>
    <row r="396" spans="1:8">
      <c r="A396" s="134" t="s">
        <v>399</v>
      </c>
      <c r="B396" s="128" t="s">
        <v>755</v>
      </c>
      <c r="C396" s="120" t="s">
        <v>410</v>
      </c>
      <c r="D396" s="128" t="s">
        <v>198</v>
      </c>
      <c r="E396" s="128" t="s">
        <v>223</v>
      </c>
      <c r="F396" s="128" t="s">
        <v>213</v>
      </c>
      <c r="G396" s="144">
        <f>'пр. 10 2022г'!G312</f>
        <v>113.0228</v>
      </c>
      <c r="H396" s="144"/>
    </row>
    <row r="397" spans="1:8" ht="38.25">
      <c r="A397" s="473" t="s">
        <v>1114</v>
      </c>
      <c r="B397" s="568" t="s">
        <v>634</v>
      </c>
      <c r="C397" s="229"/>
      <c r="D397" s="229" t="s">
        <v>198</v>
      </c>
      <c r="E397" s="229"/>
      <c r="F397" s="229"/>
      <c r="G397" s="353">
        <f>G398</f>
        <v>10227.5173</v>
      </c>
      <c r="H397" s="353"/>
    </row>
    <row r="398" spans="1:8" ht="51">
      <c r="A398" s="209" t="s">
        <v>882</v>
      </c>
      <c r="B398" s="660"/>
      <c r="C398" s="521"/>
      <c r="D398" s="632" t="s">
        <v>198</v>
      </c>
      <c r="E398" s="632" t="s">
        <v>223</v>
      </c>
      <c r="F398" s="632" t="s">
        <v>213</v>
      </c>
      <c r="G398" s="522">
        <f>G399+G401</f>
        <v>10227.5173</v>
      </c>
      <c r="H398" s="522">
        <f t="shared" ref="H398" si="38">H399+H401</f>
        <v>0</v>
      </c>
    </row>
    <row r="399" spans="1:8" ht="51">
      <c r="A399" s="134" t="s">
        <v>1117</v>
      </c>
      <c r="B399" s="568" t="s">
        <v>634</v>
      </c>
      <c r="C399" s="345"/>
      <c r="D399" s="128" t="s">
        <v>198</v>
      </c>
      <c r="E399" s="128" t="s">
        <v>223</v>
      </c>
      <c r="F399" s="128" t="s">
        <v>213</v>
      </c>
      <c r="G399" s="354">
        <f>G400</f>
        <v>10217.299999999999</v>
      </c>
      <c r="H399" s="354"/>
    </row>
    <row r="400" spans="1:8">
      <c r="A400" s="134" t="s">
        <v>399</v>
      </c>
      <c r="B400" s="568" t="s">
        <v>634</v>
      </c>
      <c r="C400" s="120" t="s">
        <v>410</v>
      </c>
      <c r="D400" s="128" t="s">
        <v>198</v>
      </c>
      <c r="E400" s="128" t="s">
        <v>223</v>
      </c>
      <c r="F400" s="128" t="s">
        <v>213</v>
      </c>
      <c r="G400" s="144">
        <f>'пр. 10 2022г'!G316</f>
        <v>10217.299999999999</v>
      </c>
      <c r="H400" s="144"/>
    </row>
    <row r="401" spans="1:8" ht="51">
      <c r="A401" s="134" t="s">
        <v>1118</v>
      </c>
      <c r="B401" s="568" t="s">
        <v>634</v>
      </c>
      <c r="C401" s="120"/>
      <c r="D401" s="128" t="s">
        <v>198</v>
      </c>
      <c r="E401" s="128" t="s">
        <v>223</v>
      </c>
      <c r="F401" s="128" t="s">
        <v>213</v>
      </c>
      <c r="G401" s="144">
        <f>G402</f>
        <v>10.2173</v>
      </c>
      <c r="H401" s="144"/>
    </row>
    <row r="402" spans="1:8">
      <c r="A402" s="134" t="s">
        <v>399</v>
      </c>
      <c r="B402" s="568" t="s">
        <v>634</v>
      </c>
      <c r="C402" s="120" t="s">
        <v>410</v>
      </c>
      <c r="D402" s="128" t="s">
        <v>198</v>
      </c>
      <c r="E402" s="128" t="s">
        <v>223</v>
      </c>
      <c r="F402" s="128" t="s">
        <v>213</v>
      </c>
      <c r="G402" s="144">
        <f>'пр. 10 2022г'!G318</f>
        <v>10.2173</v>
      </c>
      <c r="H402" s="144"/>
    </row>
    <row r="403" spans="1:8" ht="38.25">
      <c r="A403" s="141" t="s">
        <v>756</v>
      </c>
      <c r="B403" s="620" t="s">
        <v>909</v>
      </c>
      <c r="C403" s="620"/>
      <c r="D403" s="620" t="s">
        <v>1233</v>
      </c>
      <c r="E403" s="620"/>
      <c r="F403" s="620"/>
      <c r="G403" s="621">
        <f>G404</f>
        <v>21090.1</v>
      </c>
      <c r="H403" s="621" t="e">
        <f>H404+H406+H411+H407+H408+#REF!</f>
        <v>#REF!</v>
      </c>
    </row>
    <row r="404" spans="1:8" ht="76.5">
      <c r="A404" s="251" t="s">
        <v>873</v>
      </c>
      <c r="B404" s="622" t="s">
        <v>909</v>
      </c>
      <c r="C404" s="622"/>
      <c r="D404" s="622"/>
      <c r="E404" s="622"/>
      <c r="F404" s="622"/>
      <c r="G404" s="623">
        <f>G405+G406+G407+G408+G409+G411</f>
        <v>21090.1</v>
      </c>
      <c r="H404" s="391"/>
    </row>
    <row r="405" spans="1:8" ht="38.25">
      <c r="A405" s="138" t="s">
        <v>267</v>
      </c>
      <c r="B405" s="622" t="s">
        <v>757</v>
      </c>
      <c r="C405" s="622" t="s">
        <v>401</v>
      </c>
      <c r="D405" s="622" t="s">
        <v>112</v>
      </c>
      <c r="E405" s="622" t="s">
        <v>212</v>
      </c>
      <c r="F405" s="622" t="s">
        <v>214</v>
      </c>
      <c r="G405" s="624">
        <f>'пр. 10 2022г'!G494</f>
        <v>150</v>
      </c>
      <c r="H405" s="145"/>
    </row>
    <row r="406" spans="1:8" ht="38.25">
      <c r="A406" s="138" t="s">
        <v>267</v>
      </c>
      <c r="B406" s="622" t="s">
        <v>757</v>
      </c>
      <c r="C406" s="622" t="s">
        <v>401</v>
      </c>
      <c r="D406" s="622" t="s">
        <v>612</v>
      </c>
      <c r="E406" s="622" t="s">
        <v>219</v>
      </c>
      <c r="F406" s="622" t="s">
        <v>214</v>
      </c>
      <c r="G406" s="624">
        <f>'пр. 10 2022г'!G540</f>
        <v>8790.0910000000003</v>
      </c>
      <c r="H406" s="145"/>
    </row>
    <row r="407" spans="1:8">
      <c r="A407" s="134" t="s">
        <v>399</v>
      </c>
      <c r="B407" s="622" t="s">
        <v>757</v>
      </c>
      <c r="C407" s="622" t="s">
        <v>410</v>
      </c>
      <c r="D407" s="622" t="s">
        <v>198</v>
      </c>
      <c r="E407" s="622" t="s">
        <v>223</v>
      </c>
      <c r="F407" s="622" t="s">
        <v>213</v>
      </c>
      <c r="G407" s="624">
        <f>'пр. 10 2022г'!G332</f>
        <v>3633.4090000000001</v>
      </c>
      <c r="H407" s="145"/>
    </row>
    <row r="408" spans="1:8">
      <c r="A408" s="134" t="s">
        <v>494</v>
      </c>
      <c r="B408" s="622" t="s">
        <v>757</v>
      </c>
      <c r="C408" s="622" t="s">
        <v>260</v>
      </c>
      <c r="D408" s="622" t="s">
        <v>198</v>
      </c>
      <c r="E408" s="622" t="s">
        <v>219</v>
      </c>
      <c r="F408" s="622" t="s">
        <v>214</v>
      </c>
      <c r="G408" s="624">
        <f>'пр. 10 2022г'!G166</f>
        <v>1000</v>
      </c>
      <c r="H408" s="145"/>
    </row>
    <row r="409" spans="1:8" ht="51">
      <c r="A409" s="251" t="s">
        <v>754</v>
      </c>
      <c r="B409" s="120" t="s">
        <v>929</v>
      </c>
      <c r="C409" s="622"/>
      <c r="D409" s="622" t="s">
        <v>612</v>
      </c>
      <c r="E409" s="622" t="s">
        <v>219</v>
      </c>
      <c r="F409" s="622" t="s">
        <v>214</v>
      </c>
      <c r="G409" s="624">
        <f>G410</f>
        <v>7516.6</v>
      </c>
      <c r="H409" s="145"/>
    </row>
    <row r="410" spans="1:8" ht="38.25">
      <c r="A410" s="138" t="s">
        <v>267</v>
      </c>
      <c r="B410" s="120" t="s">
        <v>929</v>
      </c>
      <c r="C410" s="622" t="s">
        <v>401</v>
      </c>
      <c r="D410" s="622" t="s">
        <v>612</v>
      </c>
      <c r="E410" s="622" t="s">
        <v>219</v>
      </c>
      <c r="F410" s="622" t="s">
        <v>214</v>
      </c>
      <c r="G410" s="624">
        <f>'пр. 10 2022г'!G542</f>
        <v>7516.6</v>
      </c>
      <c r="H410" s="145"/>
    </row>
    <row r="411" spans="1:8" ht="25.5" hidden="1">
      <c r="A411" s="138" t="s">
        <v>1183</v>
      </c>
      <c r="B411" s="120" t="s">
        <v>1184</v>
      </c>
      <c r="C411" s="120"/>
      <c r="D411" s="622" t="s">
        <v>612</v>
      </c>
      <c r="E411" s="622" t="s">
        <v>219</v>
      </c>
      <c r="F411" s="622" t="s">
        <v>214</v>
      </c>
      <c r="G411" s="624">
        <f>G412</f>
        <v>0</v>
      </c>
      <c r="H411" s="145"/>
    </row>
    <row r="412" spans="1:8" ht="38.25" hidden="1">
      <c r="A412" s="138" t="s">
        <v>267</v>
      </c>
      <c r="B412" s="120" t="s">
        <v>1184</v>
      </c>
      <c r="C412" s="120" t="s">
        <v>401</v>
      </c>
      <c r="D412" s="622" t="s">
        <v>198</v>
      </c>
      <c r="E412" s="622" t="s">
        <v>219</v>
      </c>
      <c r="F412" s="622" t="s">
        <v>214</v>
      </c>
      <c r="G412" s="624">
        <f>'пр. 10 2022г'!G544</f>
        <v>0</v>
      </c>
      <c r="H412" s="145"/>
    </row>
    <row r="413" spans="1:8" ht="57.75" customHeight="1">
      <c r="A413" s="627" t="s">
        <v>767</v>
      </c>
      <c r="B413" s="368" t="s">
        <v>855</v>
      </c>
      <c r="C413" s="628"/>
      <c r="D413" s="628" t="s">
        <v>198</v>
      </c>
      <c r="E413" s="628"/>
      <c r="F413" s="628"/>
      <c r="G413" s="629">
        <f>G414</f>
        <v>120</v>
      </c>
      <c r="H413" s="353"/>
    </row>
    <row r="414" spans="1:8" ht="25.5">
      <c r="A414" s="654" t="s">
        <v>878</v>
      </c>
      <c r="B414" s="642" t="s">
        <v>910</v>
      </c>
      <c r="C414" s="622"/>
      <c r="D414" s="622" t="s">
        <v>198</v>
      </c>
      <c r="E414" s="622" t="s">
        <v>215</v>
      </c>
      <c r="F414" s="622" t="s">
        <v>213</v>
      </c>
      <c r="G414" s="624">
        <f>G415</f>
        <v>120</v>
      </c>
      <c r="H414" s="145"/>
    </row>
    <row r="415" spans="1:8" ht="38.25">
      <c r="A415" s="138" t="s">
        <v>267</v>
      </c>
      <c r="B415" s="632" t="s">
        <v>857</v>
      </c>
      <c r="C415" s="622" t="s">
        <v>401</v>
      </c>
      <c r="D415" s="622" t="s">
        <v>198</v>
      </c>
      <c r="E415" s="622" t="s">
        <v>215</v>
      </c>
      <c r="F415" s="622" t="s">
        <v>213</v>
      </c>
      <c r="G415" s="624">
        <f>'пр. 10 2022г'!G246</f>
        <v>120</v>
      </c>
      <c r="H415" s="145"/>
    </row>
    <row r="416" spans="1:8" ht="51">
      <c r="A416" s="761" t="s">
        <v>1052</v>
      </c>
      <c r="B416" s="229"/>
      <c r="C416" s="628"/>
      <c r="D416" s="628" t="s">
        <v>112</v>
      </c>
      <c r="E416" s="628"/>
      <c r="F416" s="628"/>
      <c r="G416" s="629">
        <f>G417</f>
        <v>113.0228</v>
      </c>
      <c r="H416" s="353"/>
    </row>
    <row r="417" spans="1:9" ht="25.5">
      <c r="A417" s="760" t="s">
        <v>1053</v>
      </c>
      <c r="B417" s="632" t="s">
        <v>1054</v>
      </c>
      <c r="C417" s="622"/>
      <c r="D417" s="622" t="s">
        <v>112</v>
      </c>
      <c r="E417" s="622" t="s">
        <v>212</v>
      </c>
      <c r="F417" s="622" t="s">
        <v>211</v>
      </c>
      <c r="G417" s="624">
        <f>G418</f>
        <v>113.0228</v>
      </c>
      <c r="H417" s="145"/>
    </row>
    <row r="418" spans="1:9">
      <c r="A418" s="134" t="s">
        <v>494</v>
      </c>
      <c r="B418" s="632" t="s">
        <v>1054</v>
      </c>
      <c r="C418" s="622" t="s">
        <v>260</v>
      </c>
      <c r="D418" s="622" t="s">
        <v>112</v>
      </c>
      <c r="E418" s="622" t="s">
        <v>212</v>
      </c>
      <c r="F418" s="622" t="s">
        <v>211</v>
      </c>
      <c r="G418" s="624">
        <f>'пр. 10 2022г'!G426</f>
        <v>113.0228</v>
      </c>
      <c r="H418" s="145"/>
    </row>
    <row r="419" spans="1:9" ht="38.25">
      <c r="A419" s="473" t="s">
        <v>1075</v>
      </c>
      <c r="B419" s="779" t="s">
        <v>1103</v>
      </c>
      <c r="C419" s="628"/>
      <c r="D419" s="628" t="s">
        <v>793</v>
      </c>
      <c r="E419" s="628"/>
      <c r="F419" s="628"/>
      <c r="G419" s="629">
        <f>G420</f>
        <v>5523.26</v>
      </c>
      <c r="H419" s="353"/>
    </row>
    <row r="420" spans="1:9" ht="38.25">
      <c r="A420" s="45" t="s">
        <v>1106</v>
      </c>
      <c r="B420" s="463" t="s">
        <v>1104</v>
      </c>
      <c r="C420" s="622"/>
      <c r="D420" s="622"/>
      <c r="E420" s="622"/>
      <c r="F420" s="622"/>
      <c r="G420" s="624">
        <f>G421+G422+G423+G424+G425</f>
        <v>5523.26</v>
      </c>
      <c r="H420" s="145"/>
    </row>
    <row r="421" spans="1:9">
      <c r="A421" s="134" t="s">
        <v>494</v>
      </c>
      <c r="B421" s="463" t="s">
        <v>1104</v>
      </c>
      <c r="C421" s="622" t="s">
        <v>260</v>
      </c>
      <c r="D421" s="622" t="s">
        <v>112</v>
      </c>
      <c r="E421" s="622" t="s">
        <v>212</v>
      </c>
      <c r="F421" s="622" t="s">
        <v>210</v>
      </c>
      <c r="G421" s="624">
        <f>'пр. 10 2022г'!G371</f>
        <v>1435.11</v>
      </c>
      <c r="H421" s="145"/>
    </row>
    <row r="422" spans="1:9">
      <c r="A422" s="135" t="s">
        <v>340</v>
      </c>
      <c r="B422" s="463" t="s">
        <v>1104</v>
      </c>
      <c r="C422" s="622" t="s">
        <v>341</v>
      </c>
      <c r="D422" s="622" t="s">
        <v>112</v>
      </c>
      <c r="E422" s="622" t="s">
        <v>212</v>
      </c>
      <c r="F422" s="622" t="s">
        <v>210</v>
      </c>
      <c r="G422" s="624">
        <f>'пр. 10 2022г'!G372</f>
        <v>533.16</v>
      </c>
      <c r="H422" s="145"/>
    </row>
    <row r="423" spans="1:9">
      <c r="A423" s="134" t="s">
        <v>494</v>
      </c>
      <c r="B423" s="463" t="s">
        <v>1104</v>
      </c>
      <c r="C423" s="622" t="s">
        <v>260</v>
      </c>
      <c r="D423" s="622" t="s">
        <v>112</v>
      </c>
      <c r="E423" s="622" t="s">
        <v>212</v>
      </c>
      <c r="F423" s="622" t="s">
        <v>211</v>
      </c>
      <c r="G423" s="624">
        <f>'пр. 10 2022г'!G429</f>
        <v>3231.22</v>
      </c>
      <c r="H423" s="145"/>
    </row>
    <row r="424" spans="1:9">
      <c r="A424" s="134" t="s">
        <v>494</v>
      </c>
      <c r="B424" s="463" t="s">
        <v>1104</v>
      </c>
      <c r="C424" s="622" t="s">
        <v>260</v>
      </c>
      <c r="D424" s="622" t="s">
        <v>112</v>
      </c>
      <c r="E424" s="622" t="s">
        <v>212</v>
      </c>
      <c r="F424" s="622" t="s">
        <v>213</v>
      </c>
      <c r="G424" s="624">
        <f>'пр. 10 2022г'!G456</f>
        <v>123.77</v>
      </c>
      <c r="H424" s="145"/>
    </row>
    <row r="425" spans="1:9">
      <c r="A425" s="135" t="s">
        <v>340</v>
      </c>
      <c r="B425" s="463" t="s">
        <v>1104</v>
      </c>
      <c r="C425" s="622" t="s">
        <v>341</v>
      </c>
      <c r="D425" s="622" t="s">
        <v>112</v>
      </c>
      <c r="E425" s="622" t="s">
        <v>212</v>
      </c>
      <c r="F425" s="622" t="s">
        <v>212</v>
      </c>
      <c r="G425" s="624">
        <f>'пр. 10 2022г'!G482</f>
        <v>200</v>
      </c>
      <c r="H425" s="145"/>
    </row>
    <row r="426" spans="1:9" ht="15.75">
      <c r="A426" s="360" t="s">
        <v>140</v>
      </c>
      <c r="B426" s="762"/>
      <c r="C426" s="211"/>
      <c r="D426" s="211"/>
      <c r="E426" s="211"/>
      <c r="F426" s="211"/>
      <c r="G426" s="353">
        <f>G11+G15+G30+G50+G53+G73+G153+G167+G185+G206+G223+G239+G248+G394+G397+G403+G413+G416+G419</f>
        <v>1190839.1668799999</v>
      </c>
      <c r="H426" s="353" t="e">
        <f>H11+H15+H30+H50+H53+H153+H167+H185+H206+H223+H239+H248+H394+H397+H403+H413</f>
        <v>#REF!</v>
      </c>
      <c r="I426" s="599">
        <f>G426-'пр. 10 2022г'!G597</f>
        <v>-5135.7331200004555</v>
      </c>
    </row>
    <row r="427" spans="1:9">
      <c r="A427" s="358"/>
      <c r="B427" s="356"/>
      <c r="C427" s="357"/>
      <c r="D427" s="357"/>
      <c r="E427" s="357"/>
      <c r="F427" s="357"/>
      <c r="G427" s="397"/>
      <c r="H427" s="397"/>
    </row>
    <row r="428" spans="1:9">
      <c r="A428" s="358"/>
      <c r="B428" s="356"/>
      <c r="C428" s="356"/>
      <c r="D428" s="357"/>
      <c r="E428" s="357"/>
      <c r="F428" s="357"/>
      <c r="G428" s="397">
        <f>'пр. 10 2022г'!G330+'пр. 10 2022г'!G232+'пр. 10 2022г'!G139+'пр. 10 2022г'!G107+'пр. 10 2022г'!G104</f>
        <v>5135.733119999999</v>
      </c>
      <c r="H428" s="397"/>
    </row>
    <row r="429" spans="1:9">
      <c r="A429" s="359"/>
      <c r="B429" s="352"/>
      <c r="C429" s="352"/>
      <c r="D429" s="352"/>
      <c r="E429" s="352"/>
      <c r="F429" s="352"/>
      <c r="G429" s="398">
        <f>I426+G428</f>
        <v>-4.5656634029000998E-10</v>
      </c>
      <c r="H429" s="398"/>
    </row>
    <row r="430" spans="1:9">
      <c r="A430" s="359"/>
      <c r="B430" s="352"/>
      <c r="C430" s="352"/>
      <c r="D430" s="352"/>
      <c r="E430" s="352"/>
      <c r="F430" s="352"/>
      <c r="G430" s="398"/>
      <c r="H430" s="398"/>
    </row>
    <row r="452" spans="7:7">
      <c r="G452" s="388">
        <f>G453+G454+G457+G460+G465+G463</f>
        <v>1141.30789</v>
      </c>
    </row>
    <row r="453" spans="7:7">
      <c r="G453" s="388">
        <f>507.662+38.08+63+2.55294+530.01295</f>
        <v>1141.30789</v>
      </c>
    </row>
    <row r="574" spans="7:7">
      <c r="G574" s="388">
        <f>G575+G576+G577+G578</f>
        <v>0</v>
      </c>
    </row>
    <row r="584" ht="23.25" customHeight="1"/>
  </sheetData>
  <mergeCells count="1">
    <mergeCell ref="A8:G8"/>
  </mergeCells>
  <pageMargins left="0.70866141732283472" right="0.70866141732283472" top="0.74803149606299213" bottom="0.74803149606299213" header="0.31496062992125984" footer="0.31496062992125984"/>
  <pageSetup paperSize="9" scale="75" fitToWidth="6" fitToHeight="9" orientation="portrait" r:id="rId1"/>
  <rowBreaks count="1" manualBreakCount="1">
    <brk id="39" max="6" man="1"/>
  </rowBreaks>
</worksheet>
</file>

<file path=xl/worksheets/sheet15.xml><?xml version="1.0" encoding="utf-8"?>
<worksheet xmlns="http://schemas.openxmlformats.org/spreadsheetml/2006/main" xmlns:r="http://schemas.openxmlformats.org/officeDocument/2006/relationships">
  <sheetPr>
    <tabColor rgb="FF92D050"/>
  </sheetPr>
  <dimension ref="A1:L222"/>
  <sheetViews>
    <sheetView workbookViewId="0">
      <selection activeCell="B198" sqref="B198:H198"/>
    </sheetView>
  </sheetViews>
  <sheetFormatPr defaultRowHeight="12.75"/>
  <cols>
    <col min="1" max="1" width="44.28515625" style="94" customWidth="1"/>
    <col min="2" max="2" width="13.85546875" style="167" customWidth="1"/>
    <col min="3" max="3" width="9.140625" style="167"/>
    <col min="4" max="4" width="9" style="167" customWidth="1"/>
    <col min="5" max="5" width="9.140625" style="167" customWidth="1"/>
    <col min="6" max="6" width="9.5703125" style="167" customWidth="1"/>
    <col min="7" max="7" width="16.28515625" style="388" customWidth="1"/>
    <col min="8" max="8" width="15.5703125" style="388" customWidth="1"/>
    <col min="9" max="9" width="21.140625" style="150" customWidth="1"/>
    <col min="10" max="10" width="15.42578125" customWidth="1"/>
    <col min="11" max="11" width="21.5703125" customWidth="1"/>
    <col min="12" max="12" width="13.42578125" customWidth="1"/>
  </cols>
  <sheetData>
    <row r="1" spans="1:9">
      <c r="D1" s="408"/>
      <c r="E1" s="408"/>
      <c r="F1" s="408"/>
      <c r="G1" s="408" t="s">
        <v>437</v>
      </c>
      <c r="H1" s="408"/>
    </row>
    <row r="2" spans="1:9">
      <c r="D2" s="408"/>
      <c r="E2" s="408"/>
      <c r="F2" s="408"/>
      <c r="G2" s="408" t="s">
        <v>199</v>
      </c>
      <c r="H2" s="408"/>
    </row>
    <row r="3" spans="1:9">
      <c r="D3" s="408"/>
      <c r="E3" s="408"/>
      <c r="F3" s="408"/>
      <c r="G3" s="408" t="s">
        <v>298</v>
      </c>
      <c r="H3" s="408"/>
    </row>
    <row r="4" spans="1:9">
      <c r="D4" s="639"/>
      <c r="E4" s="639"/>
      <c r="F4" s="639"/>
      <c r="G4" s="639" t="s">
        <v>148</v>
      </c>
      <c r="H4" s="639"/>
    </row>
    <row r="5" spans="1:9">
      <c r="D5" s="639"/>
      <c r="E5" s="639"/>
      <c r="F5" s="639"/>
      <c r="G5" s="639" t="s">
        <v>299</v>
      </c>
      <c r="H5" s="639"/>
    </row>
    <row r="6" spans="1:9">
      <c r="D6" s="639"/>
      <c r="E6" s="639"/>
      <c r="F6" s="639"/>
      <c r="G6" s="786" t="s">
        <v>1172</v>
      </c>
      <c r="H6" s="639"/>
    </row>
    <row r="7" spans="1:9">
      <c r="D7" s="641"/>
      <c r="E7" s="641"/>
      <c r="F7" s="999" t="s">
        <v>1179</v>
      </c>
      <c r="G7" s="999"/>
      <c r="H7" s="641"/>
    </row>
    <row r="8" spans="1:9" ht="31.5" customHeight="1">
      <c r="A8" s="997" t="s">
        <v>1178</v>
      </c>
      <c r="B8" s="998"/>
      <c r="C8" s="998"/>
      <c r="D8" s="998"/>
      <c r="E8" s="998"/>
      <c r="F8" s="998"/>
      <c r="G8" s="998"/>
    </row>
    <row r="9" spans="1:9">
      <c r="G9" s="389" t="s">
        <v>102</v>
      </c>
      <c r="H9" s="389" t="s">
        <v>102</v>
      </c>
    </row>
    <row r="10" spans="1:9" s="140" customFormat="1" ht="25.5">
      <c r="A10" s="638" t="s">
        <v>204</v>
      </c>
      <c r="B10" s="638" t="s">
        <v>207</v>
      </c>
      <c r="C10" s="638" t="s">
        <v>208</v>
      </c>
      <c r="D10" s="638" t="s">
        <v>297</v>
      </c>
      <c r="E10" s="638" t="s">
        <v>205</v>
      </c>
      <c r="F10" s="638" t="s">
        <v>206</v>
      </c>
      <c r="G10" s="390" t="s">
        <v>792</v>
      </c>
      <c r="H10" s="225" t="s">
        <v>1169</v>
      </c>
      <c r="I10" s="355"/>
    </row>
    <row r="11" spans="1:9" ht="51">
      <c r="A11" s="141" t="s">
        <v>771</v>
      </c>
      <c r="B11" s="131" t="s">
        <v>517</v>
      </c>
      <c r="C11" s="131"/>
      <c r="D11" s="131"/>
      <c r="E11" s="368"/>
      <c r="F11" s="368"/>
      <c r="G11" s="143">
        <f>G12</f>
        <v>200</v>
      </c>
      <c r="H11" s="143">
        <f>H12</f>
        <v>0</v>
      </c>
      <c r="I11" s="216"/>
    </row>
    <row r="12" spans="1:9" ht="25.5">
      <c r="A12" s="209" t="s">
        <v>877</v>
      </c>
      <c r="B12" s="521" t="s">
        <v>517</v>
      </c>
      <c r="C12" s="521"/>
      <c r="D12" s="521"/>
      <c r="E12" s="632"/>
      <c r="F12" s="632"/>
      <c r="G12" s="522">
        <f>G13</f>
        <v>200</v>
      </c>
      <c r="H12" s="522">
        <f>H13</f>
        <v>0</v>
      </c>
      <c r="I12" s="216"/>
    </row>
    <row r="13" spans="1:9">
      <c r="A13" s="134" t="s">
        <v>263</v>
      </c>
      <c r="B13" s="133" t="s">
        <v>517</v>
      </c>
      <c r="C13" s="133" t="s">
        <v>260</v>
      </c>
      <c r="D13" s="133" t="s">
        <v>112</v>
      </c>
      <c r="E13" s="133" t="s">
        <v>212</v>
      </c>
      <c r="F13" s="133" t="s">
        <v>210</v>
      </c>
      <c r="G13" s="391">
        <f>'пр.11 2023-2024г'!G334</f>
        <v>200</v>
      </c>
      <c r="H13" s="391">
        <f>'пр.11 2023-2024г'!H334</f>
        <v>0</v>
      </c>
      <c r="I13" s="216"/>
    </row>
    <row r="14" spans="1:9" ht="25.5">
      <c r="A14" s="141" t="s">
        <v>772</v>
      </c>
      <c r="B14" s="131" t="s">
        <v>576</v>
      </c>
      <c r="C14" s="131"/>
      <c r="D14" s="131"/>
      <c r="E14" s="131"/>
      <c r="F14" s="131"/>
      <c r="G14" s="143">
        <f>G15+G21</f>
        <v>2854.0763500000003</v>
      </c>
      <c r="H14" s="143">
        <f>H15+H21</f>
        <v>0</v>
      </c>
      <c r="I14" s="216"/>
    </row>
    <row r="15" spans="1:9" ht="57" customHeight="1">
      <c r="A15" s="253" t="s">
        <v>773</v>
      </c>
      <c r="B15" s="331" t="s">
        <v>852</v>
      </c>
      <c r="C15" s="254"/>
      <c r="D15" s="331">
        <v>934</v>
      </c>
      <c r="E15" s="331" t="s">
        <v>215</v>
      </c>
      <c r="F15" s="331" t="s">
        <v>219</v>
      </c>
      <c r="G15" s="392">
        <f>G17+G19</f>
        <v>2754.0763500000003</v>
      </c>
      <c r="H15" s="392">
        <f>H16</f>
        <v>0</v>
      </c>
      <c r="I15" s="216"/>
    </row>
    <row r="16" spans="1:9" ht="25.5">
      <c r="A16" s="658" t="s">
        <v>851</v>
      </c>
      <c r="B16" s="128" t="s">
        <v>852</v>
      </c>
      <c r="C16" s="521"/>
      <c r="D16" s="632">
        <v>934</v>
      </c>
      <c r="E16" s="632" t="s">
        <v>215</v>
      </c>
      <c r="F16" s="632" t="s">
        <v>219</v>
      </c>
      <c r="G16" s="522">
        <f>G17+G19</f>
        <v>2754.0763500000003</v>
      </c>
      <c r="H16" s="522">
        <f>H17+H19</f>
        <v>0</v>
      </c>
      <c r="I16" s="216"/>
    </row>
    <row r="17" spans="1:12" s="214" customFormat="1" ht="44.25" customHeight="1">
      <c r="A17" s="519" t="s">
        <v>702</v>
      </c>
      <c r="B17" s="128" t="s">
        <v>572</v>
      </c>
      <c r="C17" s="521"/>
      <c r="D17" s="133">
        <v>934</v>
      </c>
      <c r="E17" s="133" t="s">
        <v>215</v>
      </c>
      <c r="F17" s="133" t="s">
        <v>219</v>
      </c>
      <c r="G17" s="522">
        <f>G18</f>
        <v>2189.5</v>
      </c>
      <c r="H17" s="522">
        <f>H18</f>
        <v>0</v>
      </c>
      <c r="I17" s="216"/>
    </row>
    <row r="18" spans="1:12" ht="44.25" customHeight="1">
      <c r="A18" s="134" t="s">
        <v>334</v>
      </c>
      <c r="B18" s="128" t="s">
        <v>572</v>
      </c>
      <c r="C18" s="133" t="s">
        <v>333</v>
      </c>
      <c r="D18" s="133">
        <v>934</v>
      </c>
      <c r="E18" s="133" t="s">
        <v>215</v>
      </c>
      <c r="F18" s="133" t="s">
        <v>219</v>
      </c>
      <c r="G18" s="145">
        <f>'пр.11 2023-2024г'!G254</f>
        <v>2189.5</v>
      </c>
      <c r="H18" s="145">
        <v>0</v>
      </c>
      <c r="I18" s="216"/>
    </row>
    <row r="19" spans="1:12" s="214" customFormat="1" ht="51">
      <c r="A19" s="519" t="s">
        <v>703</v>
      </c>
      <c r="B19" s="128" t="s">
        <v>572</v>
      </c>
      <c r="C19" s="133"/>
      <c r="D19" s="133">
        <v>934</v>
      </c>
      <c r="E19" s="133" t="s">
        <v>215</v>
      </c>
      <c r="F19" s="133" t="s">
        <v>219</v>
      </c>
      <c r="G19" s="145">
        <f>G20</f>
        <v>564.57635000000005</v>
      </c>
      <c r="H19" s="145">
        <f>H20</f>
        <v>0</v>
      </c>
      <c r="I19" s="216"/>
    </row>
    <row r="20" spans="1:12" s="214" customFormat="1">
      <c r="A20" s="134" t="s">
        <v>334</v>
      </c>
      <c r="B20" s="128" t="s">
        <v>572</v>
      </c>
      <c r="C20" s="133" t="s">
        <v>333</v>
      </c>
      <c r="D20" s="520">
        <v>934</v>
      </c>
      <c r="E20" s="129" t="s">
        <v>215</v>
      </c>
      <c r="F20" s="129" t="s">
        <v>219</v>
      </c>
      <c r="G20" s="145">
        <f>'пр.11 2023-2024г'!G256</f>
        <v>564.57635000000005</v>
      </c>
      <c r="H20" s="145">
        <v>0</v>
      </c>
      <c r="I20" s="216"/>
    </row>
    <row r="21" spans="1:12" ht="25.5">
      <c r="A21" s="253" t="s">
        <v>774</v>
      </c>
      <c r="B21" s="254" t="s">
        <v>519</v>
      </c>
      <c r="C21" s="254"/>
      <c r="D21" s="120" t="s">
        <v>198</v>
      </c>
      <c r="E21" s="120" t="s">
        <v>212</v>
      </c>
      <c r="F21" s="120" t="s">
        <v>212</v>
      </c>
      <c r="G21" s="392">
        <f>G23</f>
        <v>100</v>
      </c>
      <c r="H21" s="392">
        <f>H23</f>
        <v>0</v>
      </c>
      <c r="I21" s="216"/>
    </row>
    <row r="22" spans="1:12" ht="27" customHeight="1">
      <c r="A22" s="253" t="s">
        <v>876</v>
      </c>
      <c r="B22" s="254" t="s">
        <v>519</v>
      </c>
      <c r="C22" s="254"/>
      <c r="D22" s="120" t="s">
        <v>198</v>
      </c>
      <c r="E22" s="120" t="s">
        <v>212</v>
      </c>
      <c r="F22" s="120" t="s">
        <v>212</v>
      </c>
      <c r="G22" s="392">
        <f>G23</f>
        <v>100</v>
      </c>
      <c r="H22" s="392">
        <f>H23</f>
        <v>0</v>
      </c>
      <c r="I22" s="216"/>
    </row>
    <row r="23" spans="1:12" ht="38.25">
      <c r="A23" s="138" t="s">
        <v>267</v>
      </c>
      <c r="B23" s="120" t="s">
        <v>519</v>
      </c>
      <c r="C23" s="120" t="s">
        <v>401</v>
      </c>
      <c r="D23" s="120" t="s">
        <v>198</v>
      </c>
      <c r="E23" s="120" t="s">
        <v>212</v>
      </c>
      <c r="F23" s="120" t="s">
        <v>212</v>
      </c>
      <c r="G23" s="346">
        <f>'пр.11 2023-2024г'!G211</f>
        <v>100</v>
      </c>
      <c r="H23" s="145">
        <f>'пр.11 2023-2024г'!H211</f>
        <v>0</v>
      </c>
      <c r="I23" s="216"/>
    </row>
    <row r="24" spans="1:12" ht="38.25">
      <c r="A24" s="141" t="s">
        <v>1234</v>
      </c>
      <c r="B24" s="131" t="s">
        <v>850</v>
      </c>
      <c r="C24" s="131"/>
      <c r="D24" s="131" t="s">
        <v>198</v>
      </c>
      <c r="E24" s="130"/>
      <c r="F24" s="130"/>
      <c r="G24" s="143">
        <f>G25</f>
        <v>300</v>
      </c>
      <c r="H24" s="407">
        <f>H25</f>
        <v>300</v>
      </c>
      <c r="I24" s="216"/>
    </row>
    <row r="25" spans="1:12" ht="13.5">
      <c r="A25" s="141" t="s">
        <v>872</v>
      </c>
      <c r="B25" s="618" t="s">
        <v>850</v>
      </c>
      <c r="C25" s="131"/>
      <c r="D25" s="131"/>
      <c r="E25" s="130"/>
      <c r="F25" s="130"/>
      <c r="G25" s="143">
        <f>G26</f>
        <v>300</v>
      </c>
      <c r="H25" s="145">
        <f>H26</f>
        <v>300</v>
      </c>
      <c r="I25" s="216"/>
    </row>
    <row r="26" spans="1:12" ht="38.25">
      <c r="A26" s="138" t="s">
        <v>267</v>
      </c>
      <c r="B26" s="632" t="s">
        <v>516</v>
      </c>
      <c r="C26" s="128" t="s">
        <v>401</v>
      </c>
      <c r="D26" s="133" t="s">
        <v>198</v>
      </c>
      <c r="E26" s="132" t="s">
        <v>219</v>
      </c>
      <c r="F26" s="132" t="s">
        <v>217</v>
      </c>
      <c r="G26" s="522">
        <f>'пр.11 2023-2024г'!G166</f>
        <v>300</v>
      </c>
      <c r="H26" s="145">
        <f>'пр.11 2023-2024г'!H166</f>
        <v>300</v>
      </c>
      <c r="I26" s="216"/>
    </row>
    <row r="27" spans="1:12" s="150" customFormat="1" ht="41.25" customHeight="1">
      <c r="A27" s="141" t="s">
        <v>775</v>
      </c>
      <c r="B27" s="131" t="s">
        <v>537</v>
      </c>
      <c r="C27" s="131"/>
      <c r="D27" s="131">
        <v>934</v>
      </c>
      <c r="E27" s="131"/>
      <c r="F27" s="131"/>
      <c r="G27" s="143">
        <f>G29+G31+G33+G34+G36+G38+G40+G42</f>
        <v>60405.899999999994</v>
      </c>
      <c r="H27" s="143">
        <f t="shared" ref="H27" si="0">H29+H31+H33+H34+H36+H38+H40+H42</f>
        <v>0</v>
      </c>
      <c r="I27" s="216"/>
    </row>
    <row r="28" spans="1:12" s="150" customFormat="1" ht="41.25" customHeight="1">
      <c r="A28" s="141" t="s">
        <v>912</v>
      </c>
      <c r="B28" s="131" t="s">
        <v>537</v>
      </c>
      <c r="C28" s="131"/>
      <c r="D28" s="131">
        <v>934</v>
      </c>
      <c r="E28" s="131" t="s">
        <v>911</v>
      </c>
      <c r="F28" s="131" t="s">
        <v>908</v>
      </c>
      <c r="G28" s="143">
        <f>G29+G31+G33+G34+G36+G38+G40+G42</f>
        <v>60405.899999999994</v>
      </c>
      <c r="H28" s="143">
        <f t="shared" ref="H28" si="1">H29+H31+H33+H34+H36+H38+H40+H42</f>
        <v>0</v>
      </c>
      <c r="I28" s="216"/>
    </row>
    <row r="29" spans="1:12" s="94" customFormat="1" ht="102">
      <c r="A29" s="136" t="s">
        <v>179</v>
      </c>
      <c r="B29" s="129" t="s">
        <v>663</v>
      </c>
      <c r="C29" s="129"/>
      <c r="D29" s="132" t="s">
        <v>198</v>
      </c>
      <c r="E29" s="132" t="s">
        <v>212</v>
      </c>
      <c r="F29" s="132" t="s">
        <v>213</v>
      </c>
      <c r="G29" s="144">
        <f>G30</f>
        <v>7380.8</v>
      </c>
      <c r="H29" s="144">
        <f t="shared" ref="H29" si="2">H30</f>
        <v>0</v>
      </c>
      <c r="I29" s="216"/>
      <c r="J29" s="329"/>
      <c r="L29" s="329"/>
    </row>
    <row r="30" spans="1:12" s="94" customFormat="1">
      <c r="A30" s="134" t="s">
        <v>340</v>
      </c>
      <c r="B30" s="128" t="s">
        <v>663</v>
      </c>
      <c r="C30" s="128" t="s">
        <v>341</v>
      </c>
      <c r="D30" s="133" t="s">
        <v>198</v>
      </c>
      <c r="E30" s="133" t="s">
        <v>212</v>
      </c>
      <c r="F30" s="133" t="s">
        <v>213</v>
      </c>
      <c r="G30" s="144">
        <f>'пр.11 2023-2024г'!G195</f>
        <v>7380.8</v>
      </c>
      <c r="H30" s="145">
        <f>'пр.11 2023-2024г'!H195</f>
        <v>0</v>
      </c>
      <c r="I30" s="216"/>
      <c r="J30" s="329"/>
      <c r="L30" s="329"/>
    </row>
    <row r="31" spans="1:12" s="94" customFormat="1" ht="102">
      <c r="A31" s="134" t="s">
        <v>662</v>
      </c>
      <c r="B31" s="128" t="s">
        <v>663</v>
      </c>
      <c r="C31" s="129"/>
      <c r="D31" s="132" t="s">
        <v>198</v>
      </c>
      <c r="E31" s="132" t="s">
        <v>212</v>
      </c>
      <c r="F31" s="132" t="s">
        <v>213</v>
      </c>
      <c r="G31" s="144">
        <f>G32</f>
        <v>3762</v>
      </c>
      <c r="H31" s="145">
        <f>H32</f>
        <v>0</v>
      </c>
      <c r="I31" s="216"/>
      <c r="J31" s="329"/>
      <c r="L31" s="329"/>
    </row>
    <row r="32" spans="1:12" s="94" customFormat="1">
      <c r="A32" s="134" t="s">
        <v>340</v>
      </c>
      <c r="B32" s="128" t="s">
        <v>663</v>
      </c>
      <c r="C32" s="128" t="s">
        <v>341</v>
      </c>
      <c r="D32" s="133" t="s">
        <v>198</v>
      </c>
      <c r="E32" s="133" t="s">
        <v>212</v>
      </c>
      <c r="F32" s="133" t="s">
        <v>213</v>
      </c>
      <c r="G32" s="144">
        <f>'пр.11 2023-2024г'!G197</f>
        <v>3762</v>
      </c>
      <c r="H32" s="145">
        <f>'пр.11 2023-2024г'!H197</f>
        <v>0</v>
      </c>
      <c r="I32" s="216"/>
      <c r="J32" s="329"/>
      <c r="L32" s="329"/>
    </row>
    <row r="33" spans="1:12" s="94" customFormat="1">
      <c r="A33" s="134" t="s">
        <v>338</v>
      </c>
      <c r="B33" s="120" t="s">
        <v>518</v>
      </c>
      <c r="C33" s="128" t="s">
        <v>409</v>
      </c>
      <c r="D33" s="133" t="s">
        <v>198</v>
      </c>
      <c r="E33" s="120" t="s">
        <v>212</v>
      </c>
      <c r="F33" s="120" t="s">
        <v>213</v>
      </c>
      <c r="G33" s="144">
        <f>'пр.11 2023-2024г'!G199</f>
        <v>4800</v>
      </c>
      <c r="H33" s="144">
        <f>'пр.11 2023-2024г'!H199</f>
        <v>0</v>
      </c>
      <c r="I33" s="216"/>
      <c r="J33" s="329"/>
      <c r="L33" s="329"/>
    </row>
    <row r="34" spans="1:12" ht="51">
      <c r="A34" s="68" t="s">
        <v>138</v>
      </c>
      <c r="B34" s="128" t="s">
        <v>522</v>
      </c>
      <c r="C34" s="129"/>
      <c r="D34" s="132" t="s">
        <v>198</v>
      </c>
      <c r="E34" s="132" t="s">
        <v>221</v>
      </c>
      <c r="F34" s="132" t="s">
        <v>210</v>
      </c>
      <c r="G34" s="393">
        <f>G35</f>
        <v>11457.7</v>
      </c>
      <c r="H34" s="393">
        <f t="shared" ref="H34" si="3">H35</f>
        <v>0</v>
      </c>
      <c r="I34" s="216"/>
    </row>
    <row r="35" spans="1:12" ht="51">
      <c r="A35" s="134" t="s">
        <v>262</v>
      </c>
      <c r="B35" s="128" t="s">
        <v>522</v>
      </c>
      <c r="C35" s="128" t="s">
        <v>408</v>
      </c>
      <c r="D35" s="133" t="s">
        <v>198</v>
      </c>
      <c r="E35" s="133" t="s">
        <v>221</v>
      </c>
      <c r="F35" s="133" t="s">
        <v>210</v>
      </c>
      <c r="G35" s="144">
        <f>'пр.11 2023-2024г'!G217</f>
        <v>11457.7</v>
      </c>
      <c r="H35" s="145">
        <f>'пр.11 2023-2024г'!H217</f>
        <v>0</v>
      </c>
      <c r="I35" s="216"/>
    </row>
    <row r="36" spans="1:12" ht="51">
      <c r="A36" s="68" t="s">
        <v>138</v>
      </c>
      <c r="B36" s="128" t="s">
        <v>523</v>
      </c>
      <c r="C36" s="128"/>
      <c r="D36" s="132" t="s">
        <v>198</v>
      </c>
      <c r="E36" s="132" t="s">
        <v>221</v>
      </c>
      <c r="F36" s="132" t="s">
        <v>210</v>
      </c>
      <c r="G36" s="144">
        <f>G37</f>
        <v>2362.1999999999998</v>
      </c>
      <c r="H36" s="144">
        <f t="shared" ref="H36" si="4">H37</f>
        <v>0</v>
      </c>
      <c r="I36" s="216"/>
    </row>
    <row r="37" spans="1:12" ht="51">
      <c r="A37" s="134" t="s">
        <v>262</v>
      </c>
      <c r="B37" s="128" t="s">
        <v>523</v>
      </c>
      <c r="C37" s="128" t="s">
        <v>408</v>
      </c>
      <c r="D37" s="133" t="s">
        <v>198</v>
      </c>
      <c r="E37" s="133" t="s">
        <v>221</v>
      </c>
      <c r="F37" s="133" t="s">
        <v>210</v>
      </c>
      <c r="G37" s="144">
        <f>'пр.11 2023-2024г'!G219</f>
        <v>2362.1999999999998</v>
      </c>
      <c r="H37" s="145">
        <f>'пр.11 2023-2024г'!H219</f>
        <v>0</v>
      </c>
      <c r="I37" s="216"/>
    </row>
    <row r="38" spans="1:12" ht="25.5">
      <c r="A38" s="134" t="s">
        <v>139</v>
      </c>
      <c r="B38" s="120" t="s">
        <v>721</v>
      </c>
      <c r="C38" s="128"/>
      <c r="D38" s="133" t="s">
        <v>198</v>
      </c>
      <c r="E38" s="133" t="s">
        <v>221</v>
      </c>
      <c r="F38" s="133" t="s">
        <v>210</v>
      </c>
      <c r="G38" s="144">
        <f>G39</f>
        <v>21294</v>
      </c>
      <c r="H38" s="144">
        <f t="shared" ref="H38" si="5">H39</f>
        <v>0</v>
      </c>
      <c r="I38" s="216"/>
    </row>
    <row r="39" spans="1:12">
      <c r="A39" s="134" t="s">
        <v>263</v>
      </c>
      <c r="B39" s="120" t="s">
        <v>721</v>
      </c>
      <c r="C39" s="128" t="s">
        <v>260</v>
      </c>
      <c r="D39" s="133" t="s">
        <v>198</v>
      </c>
      <c r="E39" s="133" t="s">
        <v>221</v>
      </c>
      <c r="F39" s="133" t="s">
        <v>210</v>
      </c>
      <c r="G39" s="144">
        <f>'пр.11 2023-2024г'!G221</f>
        <v>21294</v>
      </c>
      <c r="H39" s="145">
        <f>'пр.11 2023-2024г'!H221</f>
        <v>0</v>
      </c>
      <c r="I39" s="216"/>
    </row>
    <row r="40" spans="1:12" ht="38.25">
      <c r="A40" s="134" t="s">
        <v>661</v>
      </c>
      <c r="B40" s="120" t="s">
        <v>721</v>
      </c>
      <c r="C40" s="128"/>
      <c r="D40" s="133" t="s">
        <v>198</v>
      </c>
      <c r="E40" s="133" t="s">
        <v>221</v>
      </c>
      <c r="F40" s="133" t="s">
        <v>210</v>
      </c>
      <c r="G40" s="144">
        <f>G41</f>
        <v>8762.2000000000007</v>
      </c>
      <c r="H40" s="145">
        <f>H41</f>
        <v>0</v>
      </c>
      <c r="I40" s="216"/>
    </row>
    <row r="41" spans="1:12">
      <c r="A41" s="134" t="s">
        <v>263</v>
      </c>
      <c r="B41" s="120" t="s">
        <v>721</v>
      </c>
      <c r="C41" s="128" t="s">
        <v>260</v>
      </c>
      <c r="D41" s="133" t="s">
        <v>198</v>
      </c>
      <c r="E41" s="133" t="s">
        <v>221</v>
      </c>
      <c r="F41" s="133" t="s">
        <v>210</v>
      </c>
      <c r="G41" s="144">
        <f>'пр.11 2023-2024г'!G223</f>
        <v>8762.2000000000007</v>
      </c>
      <c r="H41" s="145">
        <f>'пр.11 2023-2024г'!H223</f>
        <v>0</v>
      </c>
      <c r="I41" s="216"/>
    </row>
    <row r="42" spans="1:12" ht="229.5">
      <c r="A42" s="45" t="s">
        <v>715</v>
      </c>
      <c r="B42" s="120" t="s">
        <v>418</v>
      </c>
      <c r="C42" s="128"/>
      <c r="D42" s="133" t="s">
        <v>198</v>
      </c>
      <c r="E42" s="133"/>
      <c r="F42" s="133"/>
      <c r="G42" s="144">
        <f>G43+G44</f>
        <v>587</v>
      </c>
      <c r="H42" s="144">
        <f t="shared" ref="H42" si="6">H43+H44</f>
        <v>0</v>
      </c>
      <c r="I42" s="216"/>
    </row>
    <row r="43" spans="1:12">
      <c r="A43" s="134" t="s">
        <v>263</v>
      </c>
      <c r="B43" s="120" t="s">
        <v>418</v>
      </c>
      <c r="C43" s="128" t="s">
        <v>260</v>
      </c>
      <c r="D43" s="133" t="s">
        <v>198</v>
      </c>
      <c r="E43" s="133" t="s">
        <v>215</v>
      </c>
      <c r="F43" s="133" t="s">
        <v>213</v>
      </c>
      <c r="G43" s="144">
        <f>'пр.11 2023-2024г'!G240</f>
        <v>384</v>
      </c>
      <c r="H43" s="145">
        <f>'пр.11 2023-2024г'!H240</f>
        <v>0</v>
      </c>
      <c r="I43" s="216"/>
    </row>
    <row r="44" spans="1:12">
      <c r="A44" s="134" t="s">
        <v>340</v>
      </c>
      <c r="B44" s="120" t="s">
        <v>418</v>
      </c>
      <c r="C44" s="128" t="s">
        <v>341</v>
      </c>
      <c r="D44" s="133" t="s">
        <v>198</v>
      </c>
      <c r="E44" s="133" t="s">
        <v>215</v>
      </c>
      <c r="F44" s="133" t="s">
        <v>213</v>
      </c>
      <c r="G44" s="144">
        <f>'пр.11 2023-2024г'!G241</f>
        <v>203</v>
      </c>
      <c r="H44" s="145">
        <f>'пр.11 2023-2024г'!H241</f>
        <v>0</v>
      </c>
      <c r="I44" s="216"/>
    </row>
    <row r="45" spans="1:12" ht="51">
      <c r="A45" s="141" t="s">
        <v>776</v>
      </c>
      <c r="B45" s="130" t="s">
        <v>527</v>
      </c>
      <c r="C45" s="131"/>
      <c r="D45" s="131" t="s">
        <v>198</v>
      </c>
      <c r="E45" s="130"/>
      <c r="F45" s="130"/>
      <c r="G45" s="143">
        <f>G46+G50+G53</f>
        <v>2944.23486</v>
      </c>
      <c r="H45" s="143">
        <f>H46+H50+H53</f>
        <v>0</v>
      </c>
      <c r="I45" s="216"/>
    </row>
    <row r="46" spans="1:12" ht="25.5">
      <c r="A46" s="669" t="s">
        <v>931</v>
      </c>
      <c r="B46" s="348" t="s">
        <v>504</v>
      </c>
      <c r="C46" s="254"/>
      <c r="D46" s="254" t="s">
        <v>198</v>
      </c>
      <c r="E46" s="332"/>
      <c r="F46" s="332"/>
      <c r="G46" s="392">
        <f>G47</f>
        <v>1324.23486</v>
      </c>
      <c r="H46" s="392">
        <f>H47</f>
        <v>0</v>
      </c>
      <c r="I46" s="216"/>
    </row>
    <row r="47" spans="1:12" ht="38.25">
      <c r="A47" s="519" t="s">
        <v>932</v>
      </c>
      <c r="B47" s="348" t="s">
        <v>504</v>
      </c>
      <c r="C47" s="254"/>
      <c r="D47" s="254" t="s">
        <v>198</v>
      </c>
      <c r="E47" s="332"/>
      <c r="F47" s="332"/>
      <c r="G47" s="392">
        <f>G48+G49</f>
        <v>1324.23486</v>
      </c>
      <c r="H47" s="392">
        <f>H48+H49</f>
        <v>0</v>
      </c>
      <c r="I47" s="216"/>
    </row>
    <row r="48" spans="1:12" ht="38.25">
      <c r="A48" s="138" t="s">
        <v>267</v>
      </c>
      <c r="B48" s="120" t="s">
        <v>504</v>
      </c>
      <c r="C48" s="120" t="s">
        <v>401</v>
      </c>
      <c r="D48" s="120" t="s">
        <v>198</v>
      </c>
      <c r="E48" s="142" t="s">
        <v>210</v>
      </c>
      <c r="F48" s="142" t="s">
        <v>219</v>
      </c>
      <c r="G48" s="346">
        <f>'пр.11 2023-2024г'!G75</f>
        <v>714.9</v>
      </c>
      <c r="H48" s="346">
        <f>'пр.11 2023-2024г'!H75</f>
        <v>0</v>
      </c>
      <c r="I48" s="216"/>
    </row>
    <row r="49" spans="1:9">
      <c r="A49" s="134" t="s">
        <v>338</v>
      </c>
      <c r="B49" s="120" t="s">
        <v>504</v>
      </c>
      <c r="C49" s="120" t="s">
        <v>409</v>
      </c>
      <c r="D49" s="120" t="s">
        <v>198</v>
      </c>
      <c r="E49" s="142" t="s">
        <v>217</v>
      </c>
      <c r="F49" s="142" t="s">
        <v>211</v>
      </c>
      <c r="G49" s="346">
        <f>'пр.11 2023-2024г'!G313</f>
        <v>609.33486000000005</v>
      </c>
      <c r="H49" s="346">
        <f>'пр.11 2023-2024г'!H313</f>
        <v>0</v>
      </c>
      <c r="I49" s="216"/>
    </row>
    <row r="50" spans="1:9" ht="38.25">
      <c r="A50" s="253" t="s">
        <v>777</v>
      </c>
      <c r="B50" s="254" t="s">
        <v>498</v>
      </c>
      <c r="C50" s="254"/>
      <c r="D50" s="254"/>
      <c r="E50" s="332"/>
      <c r="F50" s="332"/>
      <c r="G50" s="392">
        <f>G52</f>
        <v>1000</v>
      </c>
      <c r="H50" s="392">
        <f>H52</f>
        <v>0</v>
      </c>
      <c r="I50" s="216"/>
    </row>
    <row r="51" spans="1:9" ht="25.5">
      <c r="A51" s="134" t="s">
        <v>880</v>
      </c>
      <c r="B51" s="120" t="s">
        <v>858</v>
      </c>
      <c r="C51" s="521"/>
      <c r="D51" s="521" t="s">
        <v>198</v>
      </c>
      <c r="E51" s="521" t="s">
        <v>223</v>
      </c>
      <c r="F51" s="521" t="s">
        <v>213</v>
      </c>
      <c r="G51" s="522">
        <f>G52</f>
        <v>1000</v>
      </c>
      <c r="H51" s="522">
        <f>H52</f>
        <v>0</v>
      </c>
      <c r="I51" s="216"/>
    </row>
    <row r="52" spans="1:9" ht="13.5">
      <c r="A52" s="134" t="s">
        <v>399</v>
      </c>
      <c r="B52" s="120" t="s">
        <v>859</v>
      </c>
      <c r="C52" s="133" t="s">
        <v>410</v>
      </c>
      <c r="D52" s="133" t="s">
        <v>198</v>
      </c>
      <c r="E52" s="132" t="s">
        <v>223</v>
      </c>
      <c r="F52" s="569" t="s">
        <v>213</v>
      </c>
      <c r="G52" s="391">
        <f>'пр.11 2023-2024г'!G322</f>
        <v>1000</v>
      </c>
      <c r="H52" s="522">
        <f>'пр.11 2023-2024г'!H322</f>
        <v>0</v>
      </c>
      <c r="I52" s="216"/>
    </row>
    <row r="53" spans="1:9" ht="38.25">
      <c r="A53" s="253" t="s">
        <v>778</v>
      </c>
      <c r="B53" s="254" t="s">
        <v>496</v>
      </c>
      <c r="C53" s="254"/>
      <c r="D53" s="254" t="s">
        <v>198</v>
      </c>
      <c r="E53" s="332"/>
      <c r="F53" s="332"/>
      <c r="G53" s="392">
        <f>G55+G57</f>
        <v>620</v>
      </c>
      <c r="H53" s="392">
        <f>H55+H57</f>
        <v>0</v>
      </c>
      <c r="I53" s="216"/>
    </row>
    <row r="54" spans="1:9" ht="25.5">
      <c r="A54" s="209" t="s">
        <v>913</v>
      </c>
      <c r="B54" s="521" t="s">
        <v>496</v>
      </c>
      <c r="C54" s="521"/>
      <c r="D54" s="632" t="s">
        <v>198</v>
      </c>
      <c r="E54" s="646" t="s">
        <v>219</v>
      </c>
      <c r="F54" s="646" t="s">
        <v>217</v>
      </c>
      <c r="G54" s="522">
        <f>G55+G57</f>
        <v>620</v>
      </c>
      <c r="H54" s="522">
        <f t="shared" ref="H54" si="7">H55+H57</f>
        <v>0</v>
      </c>
      <c r="I54" s="216"/>
    </row>
    <row r="55" spans="1:9" ht="38.25">
      <c r="A55" s="613" t="s">
        <v>670</v>
      </c>
      <c r="B55" s="133" t="s">
        <v>497</v>
      </c>
      <c r="C55" s="133"/>
      <c r="D55" s="133" t="s">
        <v>198</v>
      </c>
      <c r="E55" s="132" t="s">
        <v>219</v>
      </c>
      <c r="F55" s="132" t="s">
        <v>217</v>
      </c>
      <c r="G55" s="145">
        <f>G56</f>
        <v>170</v>
      </c>
      <c r="H55" s="145">
        <f>H56</f>
        <v>0</v>
      </c>
      <c r="I55" s="216"/>
    </row>
    <row r="56" spans="1:9" ht="38.25">
      <c r="A56" s="138" t="s">
        <v>267</v>
      </c>
      <c r="B56" s="133" t="s">
        <v>497</v>
      </c>
      <c r="C56" s="133" t="s">
        <v>401</v>
      </c>
      <c r="D56" s="133" t="s">
        <v>198</v>
      </c>
      <c r="E56" s="132" t="s">
        <v>219</v>
      </c>
      <c r="F56" s="132" t="s">
        <v>217</v>
      </c>
      <c r="G56" s="145">
        <f>'пр.11 2023-2024г'!G177</f>
        <v>170</v>
      </c>
      <c r="H56" s="145">
        <v>0</v>
      </c>
      <c r="I56" s="216"/>
    </row>
    <row r="57" spans="1:9" ht="51">
      <c r="A57" s="608" t="s">
        <v>671</v>
      </c>
      <c r="B57" s="133" t="s">
        <v>497</v>
      </c>
      <c r="C57" s="133"/>
      <c r="D57" s="133" t="s">
        <v>198</v>
      </c>
      <c r="E57" s="132" t="s">
        <v>219</v>
      </c>
      <c r="F57" s="132" t="s">
        <v>217</v>
      </c>
      <c r="G57" s="145">
        <f>G58</f>
        <v>450</v>
      </c>
      <c r="H57" s="145">
        <f>H58</f>
        <v>0</v>
      </c>
      <c r="I57" s="216"/>
    </row>
    <row r="58" spans="1:9" ht="38.25">
      <c r="A58" s="138" t="s">
        <v>267</v>
      </c>
      <c r="B58" s="133" t="s">
        <v>497</v>
      </c>
      <c r="C58" s="133" t="s">
        <v>401</v>
      </c>
      <c r="D58" s="133" t="s">
        <v>198</v>
      </c>
      <c r="E58" s="132" t="s">
        <v>219</v>
      </c>
      <c r="F58" s="132" t="s">
        <v>217</v>
      </c>
      <c r="G58" s="145">
        <f>'пр.11 2023-2024г'!G179</f>
        <v>450</v>
      </c>
      <c r="H58" s="145">
        <f>'пр.11 2023-2024г'!H177</f>
        <v>0</v>
      </c>
      <c r="I58" s="216"/>
    </row>
    <row r="59" spans="1:9" ht="51">
      <c r="A59" s="853" t="s">
        <v>1236</v>
      </c>
      <c r="B59" s="229" t="s">
        <v>1240</v>
      </c>
      <c r="C59" s="229"/>
      <c r="D59" s="229"/>
      <c r="E59" s="557"/>
      <c r="F59" s="557"/>
      <c r="G59" s="145">
        <f>G60+G135</f>
        <v>59759.156849999999</v>
      </c>
      <c r="H59" s="145">
        <f>H60+H135</f>
        <v>60792.26685</v>
      </c>
      <c r="I59" s="216"/>
    </row>
    <row r="60" spans="1:9" ht="25.5">
      <c r="A60" s="253" t="s">
        <v>1248</v>
      </c>
      <c r="B60" s="254" t="s">
        <v>1241</v>
      </c>
      <c r="C60" s="254"/>
      <c r="D60" s="254" t="s">
        <v>198</v>
      </c>
      <c r="E60" s="332"/>
      <c r="F60" s="332"/>
      <c r="G60" s="145">
        <f>G61+G85+G116</f>
        <v>30633.556850000001</v>
      </c>
      <c r="H60" s="145">
        <f>H61+H85+H116</f>
        <v>31666.666850000001</v>
      </c>
      <c r="I60" s="216"/>
    </row>
    <row r="61" spans="1:9" ht="38.25">
      <c r="A61" s="253" t="s">
        <v>1237</v>
      </c>
      <c r="B61" s="254" t="s">
        <v>1242</v>
      </c>
      <c r="C61" s="254"/>
      <c r="D61" s="254" t="s">
        <v>198</v>
      </c>
      <c r="E61" s="332"/>
      <c r="F61" s="332"/>
      <c r="G61" s="145">
        <f>G62+G66+G71+G74+G77+G79+G81</f>
        <v>21371.617850000002</v>
      </c>
      <c r="H61" s="145">
        <f>H62+H66+H71+H77+H79+H81</f>
        <v>22405.327850000001</v>
      </c>
      <c r="I61" s="216"/>
    </row>
    <row r="62" spans="1:9">
      <c r="A62" s="839" t="s">
        <v>1207</v>
      </c>
      <c r="B62" s="120" t="s">
        <v>1243</v>
      </c>
      <c r="C62" s="331"/>
      <c r="D62" s="254" t="s">
        <v>198</v>
      </c>
      <c r="E62" s="837" t="s">
        <v>210</v>
      </c>
      <c r="F62" s="837" t="s">
        <v>211</v>
      </c>
      <c r="G62" s="145">
        <f>G63+G64+G65</f>
        <v>2101.87</v>
      </c>
      <c r="H62" s="145">
        <f>H63+H64+H65</f>
        <v>3147.8</v>
      </c>
      <c r="I62" s="216"/>
    </row>
    <row r="63" spans="1:9" ht="38.25">
      <c r="A63" s="134" t="s">
        <v>155</v>
      </c>
      <c r="B63" s="120" t="s">
        <v>1243</v>
      </c>
      <c r="C63" s="331" t="s">
        <v>400</v>
      </c>
      <c r="D63" s="254" t="s">
        <v>198</v>
      </c>
      <c r="E63" s="837" t="s">
        <v>210</v>
      </c>
      <c r="F63" s="837" t="s">
        <v>211</v>
      </c>
      <c r="G63" s="145">
        <f>'пр.11 2023-2024г'!G68</f>
        <v>1606.6589799999999</v>
      </c>
      <c r="H63" s="145">
        <f>'пр.11 2023-2024г'!H68</f>
        <v>2409.9</v>
      </c>
      <c r="I63" s="216"/>
    </row>
    <row r="64" spans="1:9" ht="38.25">
      <c r="A64" s="134" t="s">
        <v>10</v>
      </c>
      <c r="B64" s="120" t="s">
        <v>1243</v>
      </c>
      <c r="C64" s="331" t="s">
        <v>405</v>
      </c>
      <c r="D64" s="254" t="s">
        <v>198</v>
      </c>
      <c r="E64" s="837" t="s">
        <v>210</v>
      </c>
      <c r="F64" s="837" t="s">
        <v>211</v>
      </c>
      <c r="G64" s="145">
        <f>'пр.11 2023-2024г'!G69</f>
        <v>10</v>
      </c>
      <c r="H64" s="145">
        <f>'пр.11 2023-2024г'!H69</f>
        <v>10</v>
      </c>
      <c r="I64" s="216"/>
    </row>
    <row r="65" spans="1:9" ht="51">
      <c r="A65" s="571" t="s">
        <v>416</v>
      </c>
      <c r="B65" s="120" t="s">
        <v>1243</v>
      </c>
      <c r="C65" s="331" t="s">
        <v>417</v>
      </c>
      <c r="D65" s="254" t="s">
        <v>198</v>
      </c>
      <c r="E65" s="837" t="s">
        <v>210</v>
      </c>
      <c r="F65" s="837" t="s">
        <v>211</v>
      </c>
      <c r="G65" s="145">
        <f>'пр.11 2023-2024г'!G70</f>
        <v>485.21102000000002</v>
      </c>
      <c r="H65" s="145">
        <f>'пр.11 2023-2024г'!H70</f>
        <v>727.9</v>
      </c>
      <c r="I65" s="216"/>
    </row>
    <row r="66" spans="1:9">
      <c r="A66" s="253" t="s">
        <v>1207</v>
      </c>
      <c r="B66" s="120" t="s">
        <v>1243</v>
      </c>
      <c r="C66" s="331"/>
      <c r="D66" s="254" t="s">
        <v>198</v>
      </c>
      <c r="E66" s="837" t="s">
        <v>210</v>
      </c>
      <c r="F66" s="837" t="s">
        <v>219</v>
      </c>
      <c r="G66" s="145">
        <f>G67+G68+G69+G70</f>
        <v>10278.219999999999</v>
      </c>
      <c r="H66" s="145">
        <f>H67+H68+H69+H70</f>
        <v>15020.6</v>
      </c>
      <c r="I66" s="216"/>
    </row>
    <row r="67" spans="1:9" ht="38.25">
      <c r="A67" s="134" t="s">
        <v>155</v>
      </c>
      <c r="B67" s="120" t="s">
        <v>1243</v>
      </c>
      <c r="C67" s="331" t="s">
        <v>400</v>
      </c>
      <c r="D67" s="254" t="s">
        <v>198</v>
      </c>
      <c r="E67" s="837" t="s">
        <v>210</v>
      </c>
      <c r="F67" s="837" t="s">
        <v>219</v>
      </c>
      <c r="G67" s="145">
        <f>'пр.11 2023-2024г'!G80</f>
        <v>7334.2703499999998</v>
      </c>
      <c r="H67" s="145">
        <f>'пр.11 2023-2024г'!H80</f>
        <v>10976.7</v>
      </c>
      <c r="I67" s="216"/>
    </row>
    <row r="68" spans="1:9" ht="38.25">
      <c r="A68" s="134" t="s">
        <v>10</v>
      </c>
      <c r="B68" s="120" t="s">
        <v>1243</v>
      </c>
      <c r="C68" s="331" t="s">
        <v>405</v>
      </c>
      <c r="D68" s="254" t="s">
        <v>198</v>
      </c>
      <c r="E68" s="837" t="s">
        <v>210</v>
      </c>
      <c r="F68" s="837" t="s">
        <v>219</v>
      </c>
      <c r="G68" s="145">
        <f>'пр.11 2023-2024г'!G81</f>
        <v>50</v>
      </c>
      <c r="H68" s="145">
        <f>'пр.11 2023-2024г'!H81</f>
        <v>50</v>
      </c>
      <c r="I68" s="216"/>
    </row>
    <row r="69" spans="1:9" ht="51">
      <c r="A69" s="571" t="s">
        <v>416</v>
      </c>
      <c r="B69" s="120" t="s">
        <v>1243</v>
      </c>
      <c r="C69" s="331" t="s">
        <v>417</v>
      </c>
      <c r="D69" s="254" t="s">
        <v>198</v>
      </c>
      <c r="E69" s="837" t="s">
        <v>210</v>
      </c>
      <c r="F69" s="837" t="s">
        <v>219</v>
      </c>
      <c r="G69" s="145">
        <f>'пр.11 2023-2024г'!G82</f>
        <v>2214.94965</v>
      </c>
      <c r="H69" s="145">
        <f>'пр.11 2023-2024г'!H82</f>
        <v>3314.9</v>
      </c>
      <c r="I69" s="216"/>
    </row>
    <row r="70" spans="1:9" ht="38.25">
      <c r="A70" s="138" t="s">
        <v>267</v>
      </c>
      <c r="B70" s="120" t="s">
        <v>1243</v>
      </c>
      <c r="C70" s="120" t="s">
        <v>401</v>
      </c>
      <c r="D70" s="254" t="s">
        <v>198</v>
      </c>
      <c r="E70" s="837" t="s">
        <v>210</v>
      </c>
      <c r="F70" s="837" t="s">
        <v>219</v>
      </c>
      <c r="G70" s="145">
        <f>'пр.11 2023-2024г'!G83</f>
        <v>679</v>
      </c>
      <c r="H70" s="145">
        <f>'пр.11 2023-2024г'!H83</f>
        <v>679</v>
      </c>
      <c r="I70" s="216"/>
    </row>
    <row r="71" spans="1:9">
      <c r="A71" s="134" t="s">
        <v>1207</v>
      </c>
      <c r="B71" s="120" t="s">
        <v>1243</v>
      </c>
      <c r="C71" s="120"/>
      <c r="D71" s="331" t="s">
        <v>195</v>
      </c>
      <c r="E71" s="331" t="s">
        <v>210</v>
      </c>
      <c r="F71" s="331" t="s">
        <v>216</v>
      </c>
      <c r="G71" s="145">
        <f>G72+G73</f>
        <v>2758.2200000000003</v>
      </c>
      <c r="H71" s="145">
        <f>H72+H73</f>
        <v>2758.2200000000003</v>
      </c>
      <c r="I71" s="216"/>
    </row>
    <row r="72" spans="1:9" ht="25.5">
      <c r="A72" s="134" t="s">
        <v>415</v>
      </c>
      <c r="B72" s="120" t="s">
        <v>1243</v>
      </c>
      <c r="C72" s="120" t="s">
        <v>400</v>
      </c>
      <c r="D72" s="331" t="s">
        <v>195</v>
      </c>
      <c r="E72" s="331" t="s">
        <v>210</v>
      </c>
      <c r="F72" s="331" t="s">
        <v>216</v>
      </c>
      <c r="G72" s="145">
        <f>'пр.11 2023-2024г'!G46</f>
        <v>2118.4490000000001</v>
      </c>
      <c r="H72" s="145">
        <f>'пр.11 2023-2024г'!H46</f>
        <v>2118.4490000000001</v>
      </c>
      <c r="I72" s="216"/>
    </row>
    <row r="73" spans="1:9" ht="51">
      <c r="A73" s="571" t="s">
        <v>416</v>
      </c>
      <c r="B73" s="120" t="s">
        <v>1243</v>
      </c>
      <c r="C73" s="120" t="s">
        <v>417</v>
      </c>
      <c r="D73" s="331" t="s">
        <v>195</v>
      </c>
      <c r="E73" s="331" t="s">
        <v>210</v>
      </c>
      <c r="F73" s="331" t="s">
        <v>216</v>
      </c>
      <c r="G73" s="145">
        <f>'пр.11 2023-2024г'!G47</f>
        <v>639.77099999999996</v>
      </c>
      <c r="H73" s="145">
        <f>'пр.11 2023-2024г'!H47</f>
        <v>639.77099999999996</v>
      </c>
      <c r="I73" s="216"/>
    </row>
    <row r="74" spans="1:9" ht="25.5">
      <c r="A74" s="134" t="s">
        <v>194</v>
      </c>
      <c r="B74" s="120" t="s">
        <v>1246</v>
      </c>
      <c r="C74" s="120"/>
      <c r="D74" s="331" t="s">
        <v>195</v>
      </c>
      <c r="E74" s="331" t="s">
        <v>210</v>
      </c>
      <c r="F74" s="331" t="s">
        <v>216</v>
      </c>
      <c r="G74" s="145">
        <f>G75+G76</f>
        <v>4754.6000000000004</v>
      </c>
      <c r="H74" s="145">
        <f>H75+H76</f>
        <v>4754.6000000000004</v>
      </c>
      <c r="I74" s="216"/>
    </row>
    <row r="75" spans="1:9" ht="25.5">
      <c r="A75" s="134" t="s">
        <v>415</v>
      </c>
      <c r="B75" s="120" t="s">
        <v>1246</v>
      </c>
      <c r="C75" s="120" t="s">
        <v>400</v>
      </c>
      <c r="D75" s="331" t="s">
        <v>195</v>
      </c>
      <c r="E75" s="331" t="s">
        <v>210</v>
      </c>
      <c r="F75" s="331" t="s">
        <v>216</v>
      </c>
      <c r="G75" s="145">
        <f>'пр.11 2023-2024г'!G49</f>
        <v>3651.7665099999999</v>
      </c>
      <c r="H75" s="145">
        <f>'пр.11 2023-2024г'!H49</f>
        <v>3651.7665099999999</v>
      </c>
      <c r="I75" s="216"/>
    </row>
    <row r="76" spans="1:9" ht="51">
      <c r="A76" s="571" t="s">
        <v>416</v>
      </c>
      <c r="B76" s="120" t="s">
        <v>1246</v>
      </c>
      <c r="C76" s="120" t="s">
        <v>417</v>
      </c>
      <c r="D76" s="331" t="s">
        <v>195</v>
      </c>
      <c r="E76" s="331" t="s">
        <v>210</v>
      </c>
      <c r="F76" s="331" t="s">
        <v>216</v>
      </c>
      <c r="G76" s="145">
        <f>'пр.11 2023-2024г'!G50</f>
        <v>1102.83349</v>
      </c>
      <c r="H76" s="145">
        <f>'пр.11 2023-2024г'!H50</f>
        <v>1102.83349</v>
      </c>
      <c r="I76" s="216"/>
    </row>
    <row r="77" spans="1:9" ht="51">
      <c r="A77" s="572" t="s">
        <v>669</v>
      </c>
      <c r="B77" s="128" t="s">
        <v>1268</v>
      </c>
      <c r="C77" s="128"/>
      <c r="D77" s="133" t="s">
        <v>198</v>
      </c>
      <c r="E77" s="132" t="s">
        <v>210</v>
      </c>
      <c r="F77" s="132" t="s">
        <v>236</v>
      </c>
      <c r="G77" s="145">
        <f>G78</f>
        <v>166</v>
      </c>
      <c r="H77" s="145">
        <f>H78</f>
        <v>166</v>
      </c>
      <c r="I77" s="216"/>
    </row>
    <row r="78" spans="1:9" ht="38.25">
      <c r="A78" s="138" t="s">
        <v>267</v>
      </c>
      <c r="B78" s="128" t="s">
        <v>1268</v>
      </c>
      <c r="C78" s="133" t="s">
        <v>401</v>
      </c>
      <c r="D78" s="133" t="s">
        <v>198</v>
      </c>
      <c r="E78" s="132" t="s">
        <v>210</v>
      </c>
      <c r="F78" s="132" t="s">
        <v>236</v>
      </c>
      <c r="G78" s="145">
        <f>'пр.11 2023-2024г'!G104</f>
        <v>166</v>
      </c>
      <c r="H78" s="145">
        <f>'пр.11 2023-2024г'!H104</f>
        <v>166</v>
      </c>
      <c r="I78" s="216"/>
    </row>
    <row r="79" spans="1:9" ht="38.25">
      <c r="A79" s="572" t="s">
        <v>535</v>
      </c>
      <c r="B79" s="128" t="s">
        <v>1268</v>
      </c>
      <c r="C79" s="128"/>
      <c r="D79" s="133" t="s">
        <v>198</v>
      </c>
      <c r="E79" s="132" t="s">
        <v>210</v>
      </c>
      <c r="F79" s="132" t="s">
        <v>236</v>
      </c>
      <c r="G79" s="145">
        <f>G80</f>
        <v>166</v>
      </c>
      <c r="H79" s="145">
        <f>H80</f>
        <v>166</v>
      </c>
      <c r="I79" s="216"/>
    </row>
    <row r="80" spans="1:9" ht="38.25">
      <c r="A80" s="138" t="s">
        <v>267</v>
      </c>
      <c r="B80" s="128" t="s">
        <v>1268</v>
      </c>
      <c r="C80" s="133" t="s">
        <v>401</v>
      </c>
      <c r="D80" s="133" t="s">
        <v>198</v>
      </c>
      <c r="E80" s="132" t="s">
        <v>210</v>
      </c>
      <c r="F80" s="132" t="s">
        <v>236</v>
      </c>
      <c r="G80" s="145">
        <f>'пр.11 2023-2024г'!G102</f>
        <v>166</v>
      </c>
      <c r="H80" s="145">
        <f>'пр.11 2023-2024г'!H102</f>
        <v>166</v>
      </c>
      <c r="I80" s="216"/>
    </row>
    <row r="81" spans="1:9">
      <c r="A81" s="253" t="s">
        <v>1207</v>
      </c>
      <c r="B81" s="120" t="s">
        <v>1243</v>
      </c>
      <c r="C81" s="331"/>
      <c r="D81" s="254" t="s">
        <v>612</v>
      </c>
      <c r="E81" s="837" t="s">
        <v>220</v>
      </c>
      <c r="F81" s="837" t="s">
        <v>220</v>
      </c>
      <c r="G81" s="145">
        <f>G82+G83+G84</f>
        <v>1146.70785</v>
      </c>
      <c r="H81" s="145">
        <f>H82+H83+H84</f>
        <v>1146.70785</v>
      </c>
      <c r="I81" s="216"/>
    </row>
    <row r="82" spans="1:9" ht="38.25">
      <c r="A82" s="134" t="s">
        <v>155</v>
      </c>
      <c r="B82" s="120" t="s">
        <v>1243</v>
      </c>
      <c r="C82" s="120" t="s">
        <v>400</v>
      </c>
      <c r="D82" s="254" t="s">
        <v>612</v>
      </c>
      <c r="E82" s="837" t="s">
        <v>220</v>
      </c>
      <c r="F82" s="837" t="s">
        <v>220</v>
      </c>
      <c r="G82" s="145">
        <f>'пр.11 2023-2024г'!G461</f>
        <v>873.04750000000001</v>
      </c>
      <c r="H82" s="145">
        <f>'пр.11 2023-2024г'!H461</f>
        <v>873.04750000000001</v>
      </c>
      <c r="I82" s="216"/>
    </row>
    <row r="83" spans="1:9" ht="38.25">
      <c r="A83" s="134" t="s">
        <v>10</v>
      </c>
      <c r="B83" s="120" t="s">
        <v>1243</v>
      </c>
      <c r="C83" s="120" t="s">
        <v>405</v>
      </c>
      <c r="D83" s="254" t="s">
        <v>612</v>
      </c>
      <c r="E83" s="837" t="s">
        <v>220</v>
      </c>
      <c r="F83" s="837" t="s">
        <v>220</v>
      </c>
      <c r="G83" s="145">
        <f>'пр.11 2023-2024г'!G462</f>
        <v>10</v>
      </c>
      <c r="H83" s="145">
        <f>'пр.11 2023-2024г'!H462</f>
        <v>10</v>
      </c>
      <c r="I83" s="216"/>
    </row>
    <row r="84" spans="1:9" ht="51">
      <c r="A84" s="571" t="s">
        <v>416</v>
      </c>
      <c r="B84" s="120" t="s">
        <v>1243</v>
      </c>
      <c r="C84" s="120" t="s">
        <v>417</v>
      </c>
      <c r="D84" s="254" t="s">
        <v>612</v>
      </c>
      <c r="E84" s="837" t="s">
        <v>220</v>
      </c>
      <c r="F84" s="837" t="s">
        <v>220</v>
      </c>
      <c r="G84" s="145">
        <f>'пр.11 2023-2024г'!G463</f>
        <v>263.66034999999999</v>
      </c>
      <c r="H84" s="145">
        <f>'пр.11 2023-2024г'!H463</f>
        <v>263.66034999999999</v>
      </c>
      <c r="I84" s="216"/>
    </row>
    <row r="85" spans="1:9" ht="38.25">
      <c r="A85" s="745" t="s">
        <v>1245</v>
      </c>
      <c r="B85" s="854" t="s">
        <v>1244</v>
      </c>
      <c r="C85" s="854"/>
      <c r="D85" s="254"/>
      <c r="E85" s="332"/>
      <c r="F85" s="332"/>
      <c r="G85" s="145">
        <f>G86+G88+G92+G97+G101+G104+G108+G113</f>
        <v>4254.7</v>
      </c>
      <c r="H85" s="145">
        <f>H86+H88+H92+H97+H101+H104+H108+H113</f>
        <v>4254.0999999999995</v>
      </c>
      <c r="I85" s="216"/>
    </row>
    <row r="86" spans="1:9" ht="51">
      <c r="A86" s="134" t="s">
        <v>603</v>
      </c>
      <c r="B86" s="128" t="s">
        <v>1250</v>
      </c>
      <c r="C86" s="331"/>
      <c r="D86" s="254" t="s">
        <v>198</v>
      </c>
      <c r="E86" s="837" t="s">
        <v>210</v>
      </c>
      <c r="F86" s="837" t="s">
        <v>220</v>
      </c>
      <c r="G86" s="145">
        <f>G87</f>
        <v>6.1</v>
      </c>
      <c r="H86" s="145">
        <f>H87</f>
        <v>5.5</v>
      </c>
      <c r="I86" s="216"/>
    </row>
    <row r="87" spans="1:9" ht="38.25">
      <c r="A87" s="138" t="s">
        <v>267</v>
      </c>
      <c r="B87" s="128" t="s">
        <v>1250</v>
      </c>
      <c r="C87" s="331" t="s">
        <v>401</v>
      </c>
      <c r="D87" s="254" t="s">
        <v>198</v>
      </c>
      <c r="E87" s="837" t="s">
        <v>210</v>
      </c>
      <c r="F87" s="837" t="s">
        <v>220</v>
      </c>
      <c r="G87" s="145">
        <f>'пр.11 2023-2024г'!G93</f>
        <v>6.1</v>
      </c>
      <c r="H87" s="145">
        <f>'пр.11 2023-2024г'!H93</f>
        <v>5.5</v>
      </c>
      <c r="I87" s="216"/>
    </row>
    <row r="88" spans="1:9" ht="38.25">
      <c r="A88" s="68" t="s">
        <v>421</v>
      </c>
      <c r="B88" s="120" t="s">
        <v>1251</v>
      </c>
      <c r="C88" s="331"/>
      <c r="D88" s="254" t="s">
        <v>198</v>
      </c>
      <c r="E88" s="837" t="s">
        <v>210</v>
      </c>
      <c r="F88" s="837" t="s">
        <v>236</v>
      </c>
      <c r="G88" s="145">
        <f>G89+G90+G91</f>
        <v>230.5</v>
      </c>
      <c r="H88" s="145">
        <f>H89+H90+H91</f>
        <v>230.5</v>
      </c>
      <c r="I88" s="216"/>
    </row>
    <row r="89" spans="1:9" ht="38.25">
      <c r="A89" s="134" t="s">
        <v>155</v>
      </c>
      <c r="B89" s="120" t="s">
        <v>1251</v>
      </c>
      <c r="C89" s="120" t="s">
        <v>400</v>
      </c>
      <c r="D89" s="254" t="s">
        <v>198</v>
      </c>
      <c r="E89" s="837" t="s">
        <v>210</v>
      </c>
      <c r="F89" s="837" t="s">
        <v>236</v>
      </c>
      <c r="G89" s="145">
        <f>'пр.11 2023-2024г'!G110</f>
        <v>143.85561000000001</v>
      </c>
      <c r="H89" s="145">
        <f>'пр.11 2023-2024г'!H110</f>
        <v>143.85561000000001</v>
      </c>
      <c r="I89" s="216"/>
    </row>
    <row r="90" spans="1:9" ht="51">
      <c r="A90" s="571" t="s">
        <v>416</v>
      </c>
      <c r="B90" s="120" t="s">
        <v>1251</v>
      </c>
      <c r="C90" s="120" t="s">
        <v>417</v>
      </c>
      <c r="D90" s="254" t="s">
        <v>198</v>
      </c>
      <c r="E90" s="837" t="s">
        <v>210</v>
      </c>
      <c r="F90" s="837" t="s">
        <v>236</v>
      </c>
      <c r="G90" s="145">
        <f>'пр.11 2023-2024г'!G111</f>
        <v>43.444389999999999</v>
      </c>
      <c r="H90" s="145">
        <f>'пр.11 2023-2024г'!H111</f>
        <v>43.444389999999999</v>
      </c>
      <c r="I90" s="216"/>
    </row>
    <row r="91" spans="1:9" ht="38.25">
      <c r="A91" s="138" t="s">
        <v>267</v>
      </c>
      <c r="B91" s="120" t="s">
        <v>1251</v>
      </c>
      <c r="C91" s="120" t="s">
        <v>401</v>
      </c>
      <c r="D91" s="254" t="s">
        <v>198</v>
      </c>
      <c r="E91" s="837" t="s">
        <v>210</v>
      </c>
      <c r="F91" s="837" t="s">
        <v>236</v>
      </c>
      <c r="G91" s="145">
        <f>'пр.11 2023-2024г'!G112</f>
        <v>43.2</v>
      </c>
      <c r="H91" s="145">
        <f>'пр.11 2023-2024г'!H112</f>
        <v>43.2</v>
      </c>
      <c r="I91" s="216"/>
    </row>
    <row r="92" spans="1:9" ht="38.25">
      <c r="A92" s="68" t="s">
        <v>50</v>
      </c>
      <c r="B92" s="120" t="s">
        <v>1252</v>
      </c>
      <c r="C92" s="331"/>
      <c r="D92" s="254" t="s">
        <v>198</v>
      </c>
      <c r="E92" s="837" t="s">
        <v>210</v>
      </c>
      <c r="F92" s="837" t="s">
        <v>236</v>
      </c>
      <c r="G92" s="145">
        <f>G93+G94+G95+G96</f>
        <v>894</v>
      </c>
      <c r="H92" s="145">
        <f>H93+H94+H95+H96</f>
        <v>894</v>
      </c>
      <c r="I92" s="216"/>
    </row>
    <row r="93" spans="1:9" ht="38.25">
      <c r="A93" s="134" t="s">
        <v>155</v>
      </c>
      <c r="B93" s="120" t="s">
        <v>1252</v>
      </c>
      <c r="C93" s="120" t="s">
        <v>400</v>
      </c>
      <c r="D93" s="254" t="s">
        <v>198</v>
      </c>
      <c r="E93" s="837" t="s">
        <v>210</v>
      </c>
      <c r="F93" s="837" t="s">
        <v>236</v>
      </c>
      <c r="G93" s="145">
        <f>'пр.11 2023-2024г'!G114</f>
        <v>615.66840000000002</v>
      </c>
      <c r="H93" s="145">
        <f>'пр.11 2023-2024г'!H114</f>
        <v>615.66840000000002</v>
      </c>
      <c r="I93" s="216"/>
    </row>
    <row r="94" spans="1:9" ht="38.25">
      <c r="A94" s="134" t="s">
        <v>10</v>
      </c>
      <c r="B94" s="120" t="s">
        <v>1252</v>
      </c>
      <c r="C94" s="120" t="s">
        <v>405</v>
      </c>
      <c r="D94" s="254" t="s">
        <v>198</v>
      </c>
      <c r="E94" s="837" t="s">
        <v>210</v>
      </c>
      <c r="F94" s="837" t="s">
        <v>236</v>
      </c>
      <c r="G94" s="145">
        <f>'пр.11 2023-2024г'!G115</f>
        <v>8.23</v>
      </c>
      <c r="H94" s="145">
        <f>'пр.11 2023-2024г'!H115</f>
        <v>8.23</v>
      </c>
      <c r="I94" s="216"/>
    </row>
    <row r="95" spans="1:9" ht="51">
      <c r="A95" s="571" t="s">
        <v>416</v>
      </c>
      <c r="B95" s="120" t="s">
        <v>1252</v>
      </c>
      <c r="C95" s="120" t="s">
        <v>417</v>
      </c>
      <c r="D95" s="254" t="s">
        <v>198</v>
      </c>
      <c r="E95" s="837" t="s">
        <v>210</v>
      </c>
      <c r="F95" s="837" t="s">
        <v>236</v>
      </c>
      <c r="G95" s="145">
        <f>'пр.11 2023-2024г'!G116</f>
        <v>185.9316</v>
      </c>
      <c r="H95" s="145">
        <f>'пр.11 2023-2024г'!H116</f>
        <v>185.9316</v>
      </c>
      <c r="I95" s="216"/>
    </row>
    <row r="96" spans="1:9" ht="38.25">
      <c r="A96" s="138" t="s">
        <v>267</v>
      </c>
      <c r="B96" s="120" t="s">
        <v>1252</v>
      </c>
      <c r="C96" s="120" t="s">
        <v>401</v>
      </c>
      <c r="D96" s="254" t="s">
        <v>198</v>
      </c>
      <c r="E96" s="837" t="s">
        <v>210</v>
      </c>
      <c r="F96" s="837" t="s">
        <v>236</v>
      </c>
      <c r="G96" s="145">
        <f>'пр.11 2023-2024г'!G117</f>
        <v>84.17</v>
      </c>
      <c r="H96" s="145">
        <f>'пр.11 2023-2024г'!H117</f>
        <v>84.17</v>
      </c>
      <c r="I96" s="216"/>
    </row>
    <row r="97" spans="1:9" ht="38.25">
      <c r="A97" s="328" t="str">
        <f>'пр. 10 2022г'!A93</f>
        <v>Муниципальная программа "Развитие  имущественных и земельных отношений в МО "Кяхтинский район"на 2022-2024 годы"</v>
      </c>
      <c r="B97" s="129" t="s">
        <v>1253</v>
      </c>
      <c r="C97" s="331"/>
      <c r="D97" s="254" t="s">
        <v>198</v>
      </c>
      <c r="E97" s="837" t="s">
        <v>210</v>
      </c>
      <c r="F97" s="837" t="s">
        <v>236</v>
      </c>
      <c r="G97" s="145">
        <f>G98+G99+G100</f>
        <v>280</v>
      </c>
      <c r="H97" s="145">
        <f>H98+H99+H100</f>
        <v>280</v>
      </c>
      <c r="I97" s="216"/>
    </row>
    <row r="98" spans="1:9" ht="38.25">
      <c r="A98" s="134" t="s">
        <v>155</v>
      </c>
      <c r="B98" s="129" t="s">
        <v>1253</v>
      </c>
      <c r="C98" s="120" t="s">
        <v>400</v>
      </c>
      <c r="D98" s="254" t="s">
        <v>198</v>
      </c>
      <c r="E98" s="837" t="s">
        <v>210</v>
      </c>
      <c r="F98" s="837" t="s">
        <v>236</v>
      </c>
      <c r="G98" s="145">
        <f>'пр.11 2023-2024г'!G119</f>
        <v>179.56238999999999</v>
      </c>
      <c r="H98" s="145">
        <f>'пр.11 2023-2024г'!H119</f>
        <v>179.56238999999999</v>
      </c>
      <c r="I98" s="216"/>
    </row>
    <row r="99" spans="1:9" ht="51">
      <c r="A99" s="571" t="s">
        <v>416</v>
      </c>
      <c r="B99" s="129" t="s">
        <v>1253</v>
      </c>
      <c r="C99" s="120" t="s">
        <v>417</v>
      </c>
      <c r="D99" s="254" t="s">
        <v>198</v>
      </c>
      <c r="E99" s="837" t="s">
        <v>210</v>
      </c>
      <c r="F99" s="837" t="s">
        <v>236</v>
      </c>
      <c r="G99" s="145">
        <f>'пр.11 2023-2024г'!G120</f>
        <v>54.227609999999999</v>
      </c>
      <c r="H99" s="145">
        <f>'пр.11 2023-2024г'!H120</f>
        <v>54.227609999999999</v>
      </c>
      <c r="I99" s="216"/>
    </row>
    <row r="100" spans="1:9" ht="38.25">
      <c r="A100" s="138" t="s">
        <v>267</v>
      </c>
      <c r="B100" s="129" t="s">
        <v>1253</v>
      </c>
      <c r="C100" s="120" t="s">
        <v>401</v>
      </c>
      <c r="D100" s="254" t="s">
        <v>198</v>
      </c>
      <c r="E100" s="837" t="s">
        <v>210</v>
      </c>
      <c r="F100" s="837" t="s">
        <v>236</v>
      </c>
      <c r="G100" s="145">
        <f>'пр.11 2023-2024г'!G121</f>
        <v>46.21</v>
      </c>
      <c r="H100" s="145">
        <f>'пр.11 2023-2024г'!H121</f>
        <v>46.21</v>
      </c>
      <c r="I100" s="216"/>
    </row>
    <row r="101" spans="1:9" ht="76.5">
      <c r="A101" s="68" t="s">
        <v>402</v>
      </c>
      <c r="B101" s="142" t="s">
        <v>1270</v>
      </c>
      <c r="C101" s="142"/>
      <c r="D101" s="254" t="s">
        <v>198</v>
      </c>
      <c r="E101" s="837" t="s">
        <v>219</v>
      </c>
      <c r="F101" s="837" t="s">
        <v>217</v>
      </c>
      <c r="G101" s="145">
        <f>G102+G103</f>
        <v>3</v>
      </c>
      <c r="H101" s="145">
        <f>H102+H103</f>
        <v>3</v>
      </c>
      <c r="I101" s="216"/>
    </row>
    <row r="102" spans="1:9" ht="25.5">
      <c r="A102" s="134" t="s">
        <v>415</v>
      </c>
      <c r="B102" s="142" t="s">
        <v>1270</v>
      </c>
      <c r="C102" s="120" t="s">
        <v>400</v>
      </c>
      <c r="D102" s="254" t="s">
        <v>198</v>
      </c>
      <c r="E102" s="837" t="s">
        <v>219</v>
      </c>
      <c r="F102" s="837" t="s">
        <v>217</v>
      </c>
      <c r="G102" s="145">
        <f>'пр.11 2023-2024г'!G171</f>
        <v>2.3041499999999999</v>
      </c>
      <c r="H102" s="145">
        <f>'пр.11 2023-2024г'!H171</f>
        <v>2.3041499999999999</v>
      </c>
      <c r="I102" s="216"/>
    </row>
    <row r="103" spans="1:9" ht="51">
      <c r="A103" s="571" t="s">
        <v>416</v>
      </c>
      <c r="B103" s="142" t="s">
        <v>1270</v>
      </c>
      <c r="C103" s="120" t="s">
        <v>417</v>
      </c>
      <c r="D103" s="254" t="s">
        <v>198</v>
      </c>
      <c r="E103" s="837" t="s">
        <v>219</v>
      </c>
      <c r="F103" s="837" t="s">
        <v>217</v>
      </c>
      <c r="G103" s="145">
        <f>'пр.11 2023-2024г'!G172</f>
        <v>0.69584999999999997</v>
      </c>
      <c r="H103" s="145">
        <f>'пр.11 2023-2024г'!H172</f>
        <v>0.69584999999999997</v>
      </c>
      <c r="I103" s="216"/>
    </row>
    <row r="104" spans="1:9" ht="51">
      <c r="A104" s="136" t="s">
        <v>181</v>
      </c>
      <c r="B104" s="129" t="s">
        <v>1254</v>
      </c>
      <c r="C104" s="120"/>
      <c r="D104" s="254" t="s">
        <v>198</v>
      </c>
      <c r="E104" s="837" t="s">
        <v>215</v>
      </c>
      <c r="F104" s="837" t="s">
        <v>216</v>
      </c>
      <c r="G104" s="145">
        <f>G105+G106+G107</f>
        <v>1378.7</v>
      </c>
      <c r="H104" s="145">
        <f>H105+H106+H107</f>
        <v>1378.7</v>
      </c>
      <c r="I104" s="216"/>
    </row>
    <row r="105" spans="1:9" ht="25.5">
      <c r="A105" s="134" t="s">
        <v>415</v>
      </c>
      <c r="B105" s="129" t="s">
        <v>1254</v>
      </c>
      <c r="C105" s="120" t="s">
        <v>400</v>
      </c>
      <c r="D105" s="254" t="s">
        <v>198</v>
      </c>
      <c r="E105" s="837" t="s">
        <v>215</v>
      </c>
      <c r="F105" s="837" t="s">
        <v>216</v>
      </c>
      <c r="G105" s="145">
        <f>'пр.11 2023-2024г'!G268</f>
        <v>968.42738999999995</v>
      </c>
      <c r="H105" s="145">
        <f>'пр.11 2023-2024г'!H268</f>
        <v>968.42738999999995</v>
      </c>
      <c r="I105" s="216"/>
    </row>
    <row r="106" spans="1:9" ht="51">
      <c r="A106" s="571" t="s">
        <v>416</v>
      </c>
      <c r="B106" s="129" t="s">
        <v>1254</v>
      </c>
      <c r="C106" s="120" t="s">
        <v>417</v>
      </c>
      <c r="D106" s="254" t="s">
        <v>198</v>
      </c>
      <c r="E106" s="837" t="s">
        <v>215</v>
      </c>
      <c r="F106" s="837" t="s">
        <v>216</v>
      </c>
      <c r="G106" s="145">
        <f>'пр.11 2023-2024г'!G269</f>
        <v>292.46661</v>
      </c>
      <c r="H106" s="145">
        <f>'пр.11 2023-2024г'!H269</f>
        <v>292.46661</v>
      </c>
      <c r="I106" s="216"/>
    </row>
    <row r="107" spans="1:9" ht="38.25">
      <c r="A107" s="138" t="s">
        <v>267</v>
      </c>
      <c r="B107" s="129" t="s">
        <v>1254</v>
      </c>
      <c r="C107" s="120" t="s">
        <v>401</v>
      </c>
      <c r="D107" s="254" t="s">
        <v>198</v>
      </c>
      <c r="E107" s="837" t="s">
        <v>215</v>
      </c>
      <c r="F107" s="837" t="s">
        <v>216</v>
      </c>
      <c r="G107" s="145">
        <f>'пр.11 2023-2024г'!G270</f>
        <v>117.806</v>
      </c>
      <c r="H107" s="145">
        <f>'пр.11 2023-2024г'!H270</f>
        <v>117.806</v>
      </c>
      <c r="I107" s="216"/>
    </row>
    <row r="108" spans="1:9" ht="38.25">
      <c r="A108" s="68" t="s">
        <v>180</v>
      </c>
      <c r="B108" s="142" t="s">
        <v>1255</v>
      </c>
      <c r="C108" s="142"/>
      <c r="D108" s="254" t="s">
        <v>198</v>
      </c>
      <c r="E108" s="837" t="s">
        <v>215</v>
      </c>
      <c r="F108" s="837" t="s">
        <v>216</v>
      </c>
      <c r="G108" s="145">
        <f>G109+G110+G111+G112</f>
        <v>1378.6999999999998</v>
      </c>
      <c r="H108" s="145">
        <f>H109+H110+H111+H112</f>
        <v>1378.6999999999998</v>
      </c>
      <c r="I108" s="216"/>
    </row>
    <row r="109" spans="1:9" ht="25.5">
      <c r="A109" s="134" t="s">
        <v>415</v>
      </c>
      <c r="B109" s="142" t="s">
        <v>1255</v>
      </c>
      <c r="C109" s="120" t="s">
        <v>400</v>
      </c>
      <c r="D109" s="254" t="s">
        <v>198</v>
      </c>
      <c r="E109" s="837" t="s">
        <v>215</v>
      </c>
      <c r="F109" s="837" t="s">
        <v>216</v>
      </c>
      <c r="G109" s="145">
        <f>'пр.11 2023-2024г'!G272</f>
        <v>923.50221999999997</v>
      </c>
      <c r="H109" s="145">
        <f>'пр.11 2023-2024г'!H272</f>
        <v>923.50221999999997</v>
      </c>
      <c r="I109" s="216"/>
    </row>
    <row r="110" spans="1:9" ht="38.25">
      <c r="A110" s="134" t="s">
        <v>10</v>
      </c>
      <c r="B110" s="142" t="s">
        <v>1255</v>
      </c>
      <c r="C110" s="120" t="s">
        <v>405</v>
      </c>
      <c r="D110" s="254" t="s">
        <v>198</v>
      </c>
      <c r="E110" s="837" t="s">
        <v>215</v>
      </c>
      <c r="F110" s="837" t="s">
        <v>216</v>
      </c>
      <c r="G110" s="145">
        <f>'пр.11 2023-2024г'!G273</f>
        <v>24.2</v>
      </c>
      <c r="H110" s="145">
        <f>'пр.11 2023-2024г'!H273</f>
        <v>24.2</v>
      </c>
      <c r="I110" s="216"/>
    </row>
    <row r="111" spans="1:9" ht="51">
      <c r="A111" s="571" t="s">
        <v>416</v>
      </c>
      <c r="B111" s="142" t="s">
        <v>1255</v>
      </c>
      <c r="C111" s="120" t="s">
        <v>417</v>
      </c>
      <c r="D111" s="254" t="s">
        <v>198</v>
      </c>
      <c r="E111" s="837" t="s">
        <v>215</v>
      </c>
      <c r="F111" s="837" t="s">
        <v>216</v>
      </c>
      <c r="G111" s="145">
        <f>'пр.11 2023-2024г'!G274</f>
        <v>278.89778000000001</v>
      </c>
      <c r="H111" s="145">
        <f>'пр.11 2023-2024г'!H274</f>
        <v>278.89778000000001</v>
      </c>
      <c r="I111" s="216"/>
    </row>
    <row r="112" spans="1:9" ht="38.25">
      <c r="A112" s="138" t="s">
        <v>267</v>
      </c>
      <c r="B112" s="142" t="s">
        <v>1255</v>
      </c>
      <c r="C112" s="120" t="s">
        <v>401</v>
      </c>
      <c r="D112" s="254" t="s">
        <v>198</v>
      </c>
      <c r="E112" s="837" t="s">
        <v>215</v>
      </c>
      <c r="F112" s="837" t="s">
        <v>216</v>
      </c>
      <c r="G112" s="145">
        <f>'пр.11 2023-2024г'!G275</f>
        <v>152.1</v>
      </c>
      <c r="H112" s="145">
        <f>'пр.11 2023-2024г'!H275</f>
        <v>152.1</v>
      </c>
      <c r="I112" s="216"/>
    </row>
    <row r="113" spans="1:9" ht="63.75">
      <c r="A113" s="138" t="s">
        <v>1037</v>
      </c>
      <c r="B113" s="120" t="s">
        <v>1256</v>
      </c>
      <c r="C113" s="120"/>
      <c r="D113" s="254" t="s">
        <v>198</v>
      </c>
      <c r="E113" s="837" t="s">
        <v>215</v>
      </c>
      <c r="F113" s="837" t="s">
        <v>216</v>
      </c>
      <c r="G113" s="145">
        <f>G114+G115</f>
        <v>83.699999999999989</v>
      </c>
      <c r="H113" s="145">
        <f>H114+H115</f>
        <v>83.699999999999989</v>
      </c>
      <c r="I113" s="216"/>
    </row>
    <row r="114" spans="1:9" ht="25.5">
      <c r="A114" s="134" t="s">
        <v>415</v>
      </c>
      <c r="B114" s="120" t="s">
        <v>1256</v>
      </c>
      <c r="C114" s="120" t="s">
        <v>400</v>
      </c>
      <c r="D114" s="254" t="s">
        <v>198</v>
      </c>
      <c r="E114" s="837" t="s">
        <v>215</v>
      </c>
      <c r="F114" s="837" t="s">
        <v>216</v>
      </c>
      <c r="G114" s="145">
        <f>'пр.11 2023-2024г'!G277</f>
        <v>64.285709999999995</v>
      </c>
      <c r="H114" s="145">
        <f>'пр.11 2023-2024г'!H277</f>
        <v>64.285709999999995</v>
      </c>
      <c r="I114" s="216"/>
    </row>
    <row r="115" spans="1:9" ht="51">
      <c r="A115" s="571" t="s">
        <v>416</v>
      </c>
      <c r="B115" s="120" t="s">
        <v>1256</v>
      </c>
      <c r="C115" s="120" t="s">
        <v>417</v>
      </c>
      <c r="D115" s="254" t="s">
        <v>198</v>
      </c>
      <c r="E115" s="837" t="s">
        <v>215</v>
      </c>
      <c r="F115" s="837" t="s">
        <v>216</v>
      </c>
      <c r="G115" s="145">
        <f>'пр.11 2023-2024г'!G278</f>
        <v>19.414290000000001</v>
      </c>
      <c r="H115" s="145">
        <f>'пр.11 2023-2024г'!H278</f>
        <v>19.414290000000001</v>
      </c>
      <c r="I115" s="216"/>
    </row>
    <row r="116" spans="1:9" ht="25.5">
      <c r="A116" s="253" t="s">
        <v>1217</v>
      </c>
      <c r="B116" s="254" t="s">
        <v>1257</v>
      </c>
      <c r="C116" s="331"/>
      <c r="D116" s="331" t="s">
        <v>1223</v>
      </c>
      <c r="E116" s="837"/>
      <c r="F116" s="837"/>
      <c r="G116" s="145">
        <f>G117+G121+G124+G126+G129+G132</f>
        <v>5007.2389999999996</v>
      </c>
      <c r="H116" s="145">
        <f>H117+H121+H124+H126+H129+H132</f>
        <v>5007.2389999999996</v>
      </c>
      <c r="I116" s="216"/>
    </row>
    <row r="117" spans="1:9">
      <c r="A117" s="594" t="s">
        <v>1207</v>
      </c>
      <c r="B117" s="142" t="s">
        <v>1258</v>
      </c>
      <c r="C117" s="331"/>
      <c r="D117" s="331" t="s">
        <v>1223</v>
      </c>
      <c r="E117" s="837" t="s">
        <v>210</v>
      </c>
      <c r="F117" s="837" t="s">
        <v>213</v>
      </c>
      <c r="G117" s="145">
        <f>G118+G119+G120</f>
        <v>495.00299999999999</v>
      </c>
      <c r="H117" s="145">
        <f>H118+H119+H120</f>
        <v>495.00299999999999</v>
      </c>
      <c r="I117" s="216"/>
    </row>
    <row r="118" spans="1:9" ht="25.5">
      <c r="A118" s="134" t="s">
        <v>415</v>
      </c>
      <c r="B118" s="142" t="s">
        <v>1258</v>
      </c>
      <c r="C118" s="120" t="s">
        <v>400</v>
      </c>
      <c r="D118" s="331" t="s">
        <v>1223</v>
      </c>
      <c r="E118" s="837" t="s">
        <v>210</v>
      </c>
      <c r="F118" s="837" t="s">
        <v>213</v>
      </c>
      <c r="G118" s="145">
        <f>'пр.11 2023-2024г'!G19</f>
        <v>341.78399999999999</v>
      </c>
      <c r="H118" s="145">
        <f>'пр.11 2023-2024г'!H19</f>
        <v>341.78399999999999</v>
      </c>
      <c r="I118" s="216"/>
    </row>
    <row r="119" spans="1:9" ht="51">
      <c r="A119" s="571" t="s">
        <v>416</v>
      </c>
      <c r="B119" s="142" t="s">
        <v>1258</v>
      </c>
      <c r="C119" s="120" t="s">
        <v>417</v>
      </c>
      <c r="D119" s="331" t="s">
        <v>1223</v>
      </c>
      <c r="E119" s="837" t="s">
        <v>210</v>
      </c>
      <c r="F119" s="837" t="s">
        <v>213</v>
      </c>
      <c r="G119" s="145">
        <f>'пр.11 2023-2024г'!G20</f>
        <v>103.21899999999999</v>
      </c>
      <c r="H119" s="145">
        <f>'пр.11 2023-2024г'!H20</f>
        <v>103.21899999999999</v>
      </c>
      <c r="I119" s="216"/>
    </row>
    <row r="120" spans="1:9" ht="38.25">
      <c r="A120" s="138" t="s">
        <v>267</v>
      </c>
      <c r="B120" s="142" t="s">
        <v>1258</v>
      </c>
      <c r="C120" s="120" t="s">
        <v>401</v>
      </c>
      <c r="D120" s="331" t="s">
        <v>1223</v>
      </c>
      <c r="E120" s="837" t="s">
        <v>210</v>
      </c>
      <c r="F120" s="837" t="s">
        <v>213</v>
      </c>
      <c r="G120" s="145">
        <f>'пр.11 2023-2024г'!G21</f>
        <v>50</v>
      </c>
      <c r="H120" s="145">
        <f>'пр.11 2023-2024г'!H21</f>
        <v>50</v>
      </c>
      <c r="I120" s="216"/>
    </row>
    <row r="121" spans="1:9" ht="38.25">
      <c r="A121" s="68" t="s">
        <v>374</v>
      </c>
      <c r="B121" s="142" t="s">
        <v>1259</v>
      </c>
      <c r="C121" s="331"/>
      <c r="D121" s="331" t="s">
        <v>1223</v>
      </c>
      <c r="E121" s="837" t="s">
        <v>210</v>
      </c>
      <c r="F121" s="837" t="s">
        <v>213</v>
      </c>
      <c r="G121" s="145">
        <f>G122+G123</f>
        <v>1747.7399999999998</v>
      </c>
      <c r="H121" s="145">
        <f>H122+H123</f>
        <v>1747.7399999999998</v>
      </c>
      <c r="I121" s="216"/>
    </row>
    <row r="122" spans="1:9" ht="25.5">
      <c r="A122" s="134" t="s">
        <v>415</v>
      </c>
      <c r="B122" s="142" t="s">
        <v>1259</v>
      </c>
      <c r="C122" s="120" t="s">
        <v>400</v>
      </c>
      <c r="D122" s="331" t="s">
        <v>1223</v>
      </c>
      <c r="E122" s="837" t="s">
        <v>210</v>
      </c>
      <c r="F122" s="837" t="s">
        <v>213</v>
      </c>
      <c r="G122" s="145">
        <f>'пр.11 2023-2024г'!G23</f>
        <v>1342.35</v>
      </c>
      <c r="H122" s="145">
        <f>'пр.11 2023-2024г'!H23</f>
        <v>1342.35</v>
      </c>
      <c r="I122" s="216"/>
    </row>
    <row r="123" spans="1:9" ht="51">
      <c r="A123" s="571" t="s">
        <v>416</v>
      </c>
      <c r="B123" s="142" t="s">
        <v>1259</v>
      </c>
      <c r="C123" s="120" t="s">
        <v>417</v>
      </c>
      <c r="D123" s="331" t="s">
        <v>1223</v>
      </c>
      <c r="E123" s="837" t="s">
        <v>210</v>
      </c>
      <c r="F123" s="837" t="s">
        <v>213</v>
      </c>
      <c r="G123" s="145">
        <f>'пр.11 2023-2024г'!G24</f>
        <v>405.39</v>
      </c>
      <c r="H123" s="145">
        <f>'пр.11 2023-2024г'!H24</f>
        <v>405.39</v>
      </c>
      <c r="I123" s="216"/>
    </row>
    <row r="124" spans="1:9" ht="25.5">
      <c r="A124" s="68" t="s">
        <v>381</v>
      </c>
      <c r="B124" s="120" t="s">
        <v>1260</v>
      </c>
      <c r="C124" s="331"/>
      <c r="D124" s="331" t="s">
        <v>1223</v>
      </c>
      <c r="E124" s="837" t="s">
        <v>210</v>
      </c>
      <c r="F124" s="837" t="s">
        <v>213</v>
      </c>
      <c r="G124" s="145">
        <f>G125</f>
        <v>380</v>
      </c>
      <c r="H124" s="145">
        <f>H125</f>
        <v>380</v>
      </c>
      <c r="I124" s="216"/>
    </row>
    <row r="125" spans="1:9" ht="51">
      <c r="A125" s="135" t="s">
        <v>135</v>
      </c>
      <c r="B125" s="120" t="s">
        <v>1260</v>
      </c>
      <c r="C125" s="128" t="s">
        <v>136</v>
      </c>
      <c r="D125" s="331" t="s">
        <v>1223</v>
      </c>
      <c r="E125" s="837" t="s">
        <v>210</v>
      </c>
      <c r="F125" s="837" t="s">
        <v>213</v>
      </c>
      <c r="G125" s="145">
        <f>'пр.11 2023-2024г'!G26</f>
        <v>380</v>
      </c>
      <c r="H125" s="145">
        <f>'пр.11 2023-2024г'!H26</f>
        <v>380</v>
      </c>
      <c r="I125" s="216"/>
    </row>
    <row r="126" spans="1:9" ht="38.25">
      <c r="A126" s="519" t="s">
        <v>375</v>
      </c>
      <c r="B126" s="646" t="s">
        <v>1261</v>
      </c>
      <c r="C126" s="331"/>
      <c r="D126" s="331" t="s">
        <v>1223</v>
      </c>
      <c r="E126" s="837" t="s">
        <v>210</v>
      </c>
      <c r="F126" s="837" t="s">
        <v>216</v>
      </c>
      <c r="G126" s="145">
        <f>G127+G128</f>
        <v>1373.876</v>
      </c>
      <c r="H126" s="145">
        <f>H127+H128</f>
        <v>1373.876</v>
      </c>
      <c r="I126" s="216"/>
    </row>
    <row r="127" spans="1:9" ht="38.25">
      <c r="A127" s="134" t="s">
        <v>155</v>
      </c>
      <c r="B127" s="646" t="s">
        <v>1261</v>
      </c>
      <c r="C127" s="120" t="s">
        <v>400</v>
      </c>
      <c r="D127" s="331" t="s">
        <v>1223</v>
      </c>
      <c r="E127" s="837" t="s">
        <v>210</v>
      </c>
      <c r="F127" s="837" t="s">
        <v>216</v>
      </c>
      <c r="G127" s="145">
        <f>'пр.11 2023-2024г'!G34</f>
        <v>1055.204</v>
      </c>
      <c r="H127" s="145">
        <f>'пр.11 2023-2024г'!H34</f>
        <v>1055.204</v>
      </c>
      <c r="I127" s="216"/>
    </row>
    <row r="128" spans="1:9" ht="51">
      <c r="A128" s="571" t="s">
        <v>416</v>
      </c>
      <c r="B128" s="646" t="s">
        <v>1261</v>
      </c>
      <c r="C128" s="120" t="s">
        <v>417</v>
      </c>
      <c r="D128" s="331" t="s">
        <v>1223</v>
      </c>
      <c r="E128" s="837" t="s">
        <v>210</v>
      </c>
      <c r="F128" s="837" t="s">
        <v>216</v>
      </c>
      <c r="G128" s="145">
        <f>'пр.11 2023-2024г'!G35</f>
        <v>318.67200000000003</v>
      </c>
      <c r="H128" s="145">
        <f>'пр.11 2023-2024г'!H35</f>
        <v>318.67200000000003</v>
      </c>
      <c r="I128" s="216"/>
    </row>
    <row r="129" spans="1:9" ht="38.25">
      <c r="A129" s="519" t="s">
        <v>238</v>
      </c>
      <c r="B129" s="646" t="s">
        <v>1262</v>
      </c>
      <c r="C129" s="331"/>
      <c r="D129" s="331" t="s">
        <v>1223</v>
      </c>
      <c r="E129" s="837" t="s">
        <v>210</v>
      </c>
      <c r="F129" s="837" t="s">
        <v>216</v>
      </c>
      <c r="G129" s="145">
        <f>G130+G131</f>
        <v>561.41999999999996</v>
      </c>
      <c r="H129" s="145">
        <f>H130+H131</f>
        <v>561.41999999999996</v>
      </c>
      <c r="I129" s="216"/>
    </row>
    <row r="130" spans="1:9" ht="38.25">
      <c r="A130" s="134" t="s">
        <v>155</v>
      </c>
      <c r="B130" s="646" t="s">
        <v>1262</v>
      </c>
      <c r="C130" s="120" t="s">
        <v>400</v>
      </c>
      <c r="D130" s="331" t="s">
        <v>1223</v>
      </c>
      <c r="E130" s="837" t="s">
        <v>210</v>
      </c>
      <c r="F130" s="837" t="s">
        <v>216</v>
      </c>
      <c r="G130" s="145">
        <f>'пр.11 2023-2024г'!G37</f>
        <v>431.19799999999998</v>
      </c>
      <c r="H130" s="145">
        <f>'пр.11 2023-2024г'!H37</f>
        <v>431.19799999999998</v>
      </c>
      <c r="I130" s="216"/>
    </row>
    <row r="131" spans="1:9" ht="51">
      <c r="A131" s="571" t="s">
        <v>416</v>
      </c>
      <c r="B131" s="646" t="s">
        <v>1262</v>
      </c>
      <c r="C131" s="120" t="s">
        <v>417</v>
      </c>
      <c r="D131" s="331" t="s">
        <v>1223</v>
      </c>
      <c r="E131" s="837" t="s">
        <v>210</v>
      </c>
      <c r="F131" s="837" t="s">
        <v>216</v>
      </c>
      <c r="G131" s="145">
        <f>'пр.11 2023-2024г'!G38</f>
        <v>130.22200000000001</v>
      </c>
      <c r="H131" s="145">
        <f>'пр.11 2023-2024г'!H38</f>
        <v>130.22200000000001</v>
      </c>
      <c r="I131" s="216"/>
    </row>
    <row r="132" spans="1:9" ht="25.5">
      <c r="A132" s="519" t="s">
        <v>379</v>
      </c>
      <c r="B132" s="646" t="s">
        <v>1263</v>
      </c>
      <c r="C132" s="331"/>
      <c r="D132" s="331" t="s">
        <v>1223</v>
      </c>
      <c r="E132" s="837" t="s">
        <v>210</v>
      </c>
      <c r="F132" s="837" t="s">
        <v>216</v>
      </c>
      <c r="G132" s="145">
        <f>G133+G134</f>
        <v>449.2</v>
      </c>
      <c r="H132" s="145">
        <f>H133+H134</f>
        <v>449.2</v>
      </c>
      <c r="I132" s="216"/>
    </row>
    <row r="133" spans="1:9" ht="38.25">
      <c r="A133" s="134" t="s">
        <v>155</v>
      </c>
      <c r="B133" s="646" t="s">
        <v>1263</v>
      </c>
      <c r="C133" s="120" t="s">
        <v>400</v>
      </c>
      <c r="D133" s="331" t="s">
        <v>1223</v>
      </c>
      <c r="E133" s="837" t="s">
        <v>210</v>
      </c>
      <c r="F133" s="837" t="s">
        <v>216</v>
      </c>
      <c r="G133" s="145">
        <f>'пр.11 2023-2024г'!G31</f>
        <v>345.00767999999999</v>
      </c>
      <c r="H133" s="145">
        <f>'пр.11 2023-2024г'!H31</f>
        <v>345.00767999999999</v>
      </c>
      <c r="I133" s="216"/>
    </row>
    <row r="134" spans="1:9" ht="51">
      <c r="A134" s="571" t="s">
        <v>416</v>
      </c>
      <c r="B134" s="646" t="s">
        <v>1263</v>
      </c>
      <c r="C134" s="120" t="s">
        <v>417</v>
      </c>
      <c r="D134" s="331" t="s">
        <v>1223</v>
      </c>
      <c r="E134" s="837" t="s">
        <v>210</v>
      </c>
      <c r="F134" s="837" t="s">
        <v>216</v>
      </c>
      <c r="G134" s="145">
        <f>'пр.11 2023-2024г'!G32</f>
        <v>104.19232</v>
      </c>
      <c r="H134" s="145">
        <f>'пр.11 2023-2024г'!H32</f>
        <v>104.19232</v>
      </c>
      <c r="I134" s="216"/>
    </row>
    <row r="135" spans="1:9" ht="38.25">
      <c r="A135" s="669" t="s">
        <v>1238</v>
      </c>
      <c r="B135" s="855" t="s">
        <v>1264</v>
      </c>
      <c r="C135" s="856"/>
      <c r="D135" s="856" t="s">
        <v>198</v>
      </c>
      <c r="E135" s="857"/>
      <c r="F135" s="857"/>
      <c r="G135" s="863">
        <f>G136</f>
        <v>29125.599999999999</v>
      </c>
      <c r="H135" s="863">
        <f>H136</f>
        <v>29125.599999999999</v>
      </c>
      <c r="I135" s="216"/>
    </row>
    <row r="136" spans="1:9" ht="38.25">
      <c r="A136" s="519" t="s">
        <v>1239</v>
      </c>
      <c r="B136" s="632" t="s">
        <v>1265</v>
      </c>
      <c r="C136" s="521"/>
      <c r="D136" s="521" t="s">
        <v>198</v>
      </c>
      <c r="E136" s="569"/>
      <c r="F136" s="569"/>
      <c r="G136" s="145">
        <f>G137</f>
        <v>29125.599999999999</v>
      </c>
      <c r="H136" s="145">
        <f>H137</f>
        <v>29125.599999999999</v>
      </c>
      <c r="I136" s="216"/>
    </row>
    <row r="137" spans="1:9" ht="51">
      <c r="A137" s="134" t="s">
        <v>262</v>
      </c>
      <c r="B137" s="632" t="s">
        <v>1265</v>
      </c>
      <c r="C137" s="120" t="s">
        <v>408</v>
      </c>
      <c r="D137" s="120" t="s">
        <v>198</v>
      </c>
      <c r="E137" s="142" t="s">
        <v>210</v>
      </c>
      <c r="F137" s="142" t="s">
        <v>236</v>
      </c>
      <c r="G137" s="145">
        <f>'пр.11 2023-2024г'!G107</f>
        <v>29125.599999999999</v>
      </c>
      <c r="H137" s="145">
        <f>'пр.11 2023-2024г'!H107</f>
        <v>29125.599999999999</v>
      </c>
      <c r="I137" s="216"/>
    </row>
    <row r="138" spans="1:9" ht="38.25">
      <c r="A138" s="141" t="s">
        <v>779</v>
      </c>
      <c r="B138" s="133" t="s">
        <v>847</v>
      </c>
      <c r="C138" s="131"/>
      <c r="D138" s="131" t="s">
        <v>198</v>
      </c>
      <c r="E138" s="131" t="s">
        <v>213</v>
      </c>
      <c r="F138" s="131" t="s">
        <v>214</v>
      </c>
      <c r="G138" s="143">
        <f>G140+G141</f>
        <v>4373.2999999999993</v>
      </c>
      <c r="H138" s="143">
        <f>H140</f>
        <v>0</v>
      </c>
      <c r="I138" s="216"/>
    </row>
    <row r="139" spans="1:9" ht="38.25">
      <c r="A139" s="209" t="s">
        <v>870</v>
      </c>
      <c r="B139" s="133" t="s">
        <v>508</v>
      </c>
      <c r="C139" s="521"/>
      <c r="D139" s="133" t="s">
        <v>198</v>
      </c>
      <c r="E139" s="133" t="s">
        <v>213</v>
      </c>
      <c r="F139" s="133" t="s">
        <v>214</v>
      </c>
      <c r="G139" s="522">
        <f>G140</f>
        <v>2500</v>
      </c>
      <c r="H139" s="522">
        <v>0</v>
      </c>
      <c r="I139" s="216"/>
    </row>
    <row r="140" spans="1:9" ht="38.25">
      <c r="A140" s="138" t="s">
        <v>267</v>
      </c>
      <c r="B140" s="133" t="s">
        <v>508</v>
      </c>
      <c r="C140" s="133" t="s">
        <v>401</v>
      </c>
      <c r="D140" s="133" t="s">
        <v>198</v>
      </c>
      <c r="E140" s="133" t="s">
        <v>213</v>
      </c>
      <c r="F140" s="133" t="s">
        <v>214</v>
      </c>
      <c r="G140" s="145">
        <f>'пр.11 2023-2024г'!G126</f>
        <v>2500</v>
      </c>
      <c r="H140" s="145">
        <f>'пр.11 2023-2024г'!H126</f>
        <v>0</v>
      </c>
      <c r="I140" s="216"/>
    </row>
    <row r="141" spans="1:9" ht="38.25">
      <c r="A141" s="745" t="s">
        <v>1028</v>
      </c>
      <c r="B141" s="133" t="s">
        <v>1218</v>
      </c>
      <c r="C141" s="133"/>
      <c r="D141" s="133" t="s">
        <v>198</v>
      </c>
      <c r="E141" s="133"/>
      <c r="F141" s="133"/>
      <c r="G141" s="145">
        <f>G142+G144+G147+G149</f>
        <v>1873.2999999999997</v>
      </c>
      <c r="H141" s="145">
        <v>0</v>
      </c>
      <c r="I141" s="216"/>
    </row>
    <row r="142" spans="1:9" ht="38.25">
      <c r="A142" s="594" t="s">
        <v>536</v>
      </c>
      <c r="B142" s="129" t="s">
        <v>1200</v>
      </c>
      <c r="C142" s="133"/>
      <c r="D142" s="133" t="s">
        <v>198</v>
      </c>
      <c r="E142" s="142" t="s">
        <v>219</v>
      </c>
      <c r="F142" s="142" t="s">
        <v>220</v>
      </c>
      <c r="G142" s="145">
        <f>G143</f>
        <v>1674.6</v>
      </c>
      <c r="H142" s="145">
        <v>0</v>
      </c>
      <c r="I142" s="216"/>
    </row>
    <row r="143" spans="1:9" ht="38.25">
      <c r="A143" s="138" t="s">
        <v>267</v>
      </c>
      <c r="B143" s="128" t="s">
        <v>1200</v>
      </c>
      <c r="C143" s="133" t="s">
        <v>401</v>
      </c>
      <c r="D143" s="133" t="s">
        <v>198</v>
      </c>
      <c r="E143" s="120" t="s">
        <v>219</v>
      </c>
      <c r="F143" s="120" t="s">
        <v>220</v>
      </c>
      <c r="G143" s="145">
        <f>'пр.11 2023-2024г'!G134</f>
        <v>1674.6</v>
      </c>
      <c r="H143" s="145">
        <v>0</v>
      </c>
      <c r="I143" s="216"/>
    </row>
    <row r="144" spans="1:9" ht="38.25">
      <c r="A144" s="594" t="s">
        <v>544</v>
      </c>
      <c r="B144" s="128" t="s">
        <v>1201</v>
      </c>
      <c r="C144" s="133"/>
      <c r="D144" s="133" t="s">
        <v>198</v>
      </c>
      <c r="E144" s="142" t="s">
        <v>219</v>
      </c>
      <c r="F144" s="142" t="s">
        <v>220</v>
      </c>
      <c r="G144" s="145">
        <f>G145+G146</f>
        <v>25.1</v>
      </c>
      <c r="H144" s="145">
        <v>0</v>
      </c>
      <c r="I144" s="216"/>
    </row>
    <row r="145" spans="1:9" ht="25.5">
      <c r="A145" s="134" t="s">
        <v>415</v>
      </c>
      <c r="B145" s="128" t="s">
        <v>1201</v>
      </c>
      <c r="C145" s="133" t="s">
        <v>400</v>
      </c>
      <c r="D145" s="133" t="s">
        <v>198</v>
      </c>
      <c r="E145" s="120" t="s">
        <v>219</v>
      </c>
      <c r="F145" s="120" t="s">
        <v>220</v>
      </c>
      <c r="G145" s="145">
        <f>'пр.11 2023-2024г'!G136</f>
        <v>19.278030000000001</v>
      </c>
      <c r="H145" s="145">
        <v>0</v>
      </c>
      <c r="I145" s="216"/>
    </row>
    <row r="146" spans="1:9" ht="51">
      <c r="A146" s="571" t="s">
        <v>416</v>
      </c>
      <c r="B146" s="128" t="s">
        <v>1202</v>
      </c>
      <c r="C146" s="133" t="s">
        <v>417</v>
      </c>
      <c r="D146" s="133" t="s">
        <v>198</v>
      </c>
      <c r="E146" s="120" t="s">
        <v>219</v>
      </c>
      <c r="F146" s="120" t="s">
        <v>220</v>
      </c>
      <c r="G146" s="145">
        <f>'пр.11 2023-2024г'!G137</f>
        <v>5.8219700000000003</v>
      </c>
      <c r="H146" s="145">
        <v>0</v>
      </c>
      <c r="I146" s="216"/>
    </row>
    <row r="147" spans="1:9" ht="51">
      <c r="A147" s="841" t="s">
        <v>1082</v>
      </c>
      <c r="B147" s="128" t="s">
        <v>1203</v>
      </c>
      <c r="C147" s="133"/>
      <c r="D147" s="133" t="s">
        <v>198</v>
      </c>
      <c r="E147" s="128" t="s">
        <v>219</v>
      </c>
      <c r="F147" s="128" t="s">
        <v>220</v>
      </c>
      <c r="G147" s="145">
        <f>G148</f>
        <v>151</v>
      </c>
      <c r="H147" s="145">
        <v>0</v>
      </c>
      <c r="I147" s="216"/>
    </row>
    <row r="148" spans="1:9" ht="38.25">
      <c r="A148" s="138" t="s">
        <v>267</v>
      </c>
      <c r="B148" s="128" t="s">
        <v>1203</v>
      </c>
      <c r="C148" s="133" t="s">
        <v>401</v>
      </c>
      <c r="D148" s="133" t="s">
        <v>198</v>
      </c>
      <c r="E148" s="128" t="s">
        <v>219</v>
      </c>
      <c r="F148" s="128" t="s">
        <v>220</v>
      </c>
      <c r="G148" s="145">
        <f>'пр.11 2023-2024г'!G139</f>
        <v>151</v>
      </c>
      <c r="H148" s="145">
        <v>0</v>
      </c>
      <c r="I148" s="216"/>
    </row>
    <row r="149" spans="1:9" ht="51">
      <c r="A149" s="841" t="s">
        <v>1077</v>
      </c>
      <c r="B149" s="128" t="s">
        <v>1204</v>
      </c>
      <c r="C149" s="133"/>
      <c r="D149" s="133" t="s">
        <v>198</v>
      </c>
      <c r="E149" s="128" t="s">
        <v>219</v>
      </c>
      <c r="F149" s="128" t="s">
        <v>220</v>
      </c>
      <c r="G149" s="145">
        <f>G150+G151</f>
        <v>22.6</v>
      </c>
      <c r="H149" s="145">
        <v>0</v>
      </c>
      <c r="I149" s="216"/>
    </row>
    <row r="150" spans="1:9" ht="25.5">
      <c r="A150" s="134" t="s">
        <v>415</v>
      </c>
      <c r="B150" s="128" t="s">
        <v>1204</v>
      </c>
      <c r="C150" s="133" t="s">
        <v>400</v>
      </c>
      <c r="D150" s="133" t="s">
        <v>198</v>
      </c>
      <c r="E150" s="128" t="s">
        <v>219</v>
      </c>
      <c r="F150" s="128" t="s">
        <v>220</v>
      </c>
      <c r="G150" s="145">
        <f>'пр.11 2023-2024г'!G141</f>
        <v>17.35791</v>
      </c>
      <c r="H150" s="145">
        <v>0</v>
      </c>
      <c r="I150" s="216"/>
    </row>
    <row r="151" spans="1:9" ht="51">
      <c r="A151" s="571" t="s">
        <v>416</v>
      </c>
      <c r="B151" s="128" t="s">
        <v>1204</v>
      </c>
      <c r="C151" s="133" t="s">
        <v>417</v>
      </c>
      <c r="D151" s="133" t="s">
        <v>198</v>
      </c>
      <c r="E151" s="128" t="s">
        <v>219</v>
      </c>
      <c r="F151" s="128" t="s">
        <v>220</v>
      </c>
      <c r="G151" s="145">
        <f>'пр.11 2023-2024г'!G142</f>
        <v>5.2420900000000001</v>
      </c>
      <c r="H151" s="145">
        <v>0</v>
      </c>
      <c r="I151" s="216"/>
    </row>
    <row r="152" spans="1:9" ht="38.25">
      <c r="A152" s="141" t="s">
        <v>780</v>
      </c>
      <c r="B152" s="131" t="s">
        <v>576</v>
      </c>
      <c r="C152" s="131"/>
      <c r="D152" s="131" t="s">
        <v>198</v>
      </c>
      <c r="E152" s="131"/>
      <c r="F152" s="131"/>
      <c r="G152" s="143">
        <f>G153</f>
        <v>18819.761460000002</v>
      </c>
      <c r="H152" s="143">
        <f>H153</f>
        <v>0</v>
      </c>
      <c r="I152" s="216"/>
    </row>
    <row r="153" spans="1:9" ht="25.5">
      <c r="A153" s="141" t="s">
        <v>879</v>
      </c>
      <c r="B153" s="131" t="s">
        <v>914</v>
      </c>
      <c r="C153" s="131"/>
      <c r="D153" s="131" t="s">
        <v>198</v>
      </c>
      <c r="E153" s="131" t="s">
        <v>1015</v>
      </c>
      <c r="F153" s="131" t="s">
        <v>915</v>
      </c>
      <c r="G153" s="143">
        <f>G156+G157+G164+G165+G167+G154+G158+G161</f>
        <v>18819.761460000002</v>
      </c>
      <c r="H153" s="143">
        <f>H156+H157+H164+H165+H167+H154</f>
        <v>0</v>
      </c>
      <c r="I153" s="216"/>
    </row>
    <row r="154" spans="1:9" ht="229.5">
      <c r="A154" s="45" t="s">
        <v>715</v>
      </c>
      <c r="B154" s="120" t="s">
        <v>1004</v>
      </c>
      <c r="C154" s="521"/>
      <c r="D154" s="133" t="s">
        <v>198</v>
      </c>
      <c r="E154" s="133" t="s">
        <v>215</v>
      </c>
      <c r="F154" s="133" t="s">
        <v>213</v>
      </c>
      <c r="G154" s="391">
        <f>G155</f>
        <v>228.5</v>
      </c>
      <c r="H154" s="391">
        <f>H155</f>
        <v>0</v>
      </c>
      <c r="I154" s="216"/>
    </row>
    <row r="155" spans="1:9">
      <c r="A155" s="134" t="s">
        <v>340</v>
      </c>
      <c r="B155" s="120" t="s">
        <v>1004</v>
      </c>
      <c r="C155" s="632" t="s">
        <v>341</v>
      </c>
      <c r="D155" s="133" t="s">
        <v>198</v>
      </c>
      <c r="E155" s="133" t="s">
        <v>215</v>
      </c>
      <c r="F155" s="133" t="s">
        <v>213</v>
      </c>
      <c r="G155" s="391">
        <f>'пр.11 2023-2024г'!G244</f>
        <v>228.5</v>
      </c>
      <c r="H155" s="391">
        <f>'пр.11 2023-2024г'!H244</f>
        <v>0</v>
      </c>
      <c r="I155" s="216"/>
    </row>
    <row r="156" spans="1:9" ht="38.25">
      <c r="A156" s="138" t="s">
        <v>267</v>
      </c>
      <c r="B156" s="128" t="s">
        <v>525</v>
      </c>
      <c r="C156" s="128" t="s">
        <v>401</v>
      </c>
      <c r="D156" s="133" t="s">
        <v>198</v>
      </c>
      <c r="E156" s="133" t="s">
        <v>218</v>
      </c>
      <c r="F156" s="133" t="s">
        <v>210</v>
      </c>
      <c r="G156" s="145">
        <f>'пр.11 2023-2024г'!G283</f>
        <v>1297.0999999999999</v>
      </c>
      <c r="H156" s="145">
        <f>'пр.11 2023-2024г'!H283</f>
        <v>0</v>
      </c>
      <c r="I156" s="216"/>
    </row>
    <row r="157" spans="1:9">
      <c r="A157" s="574" t="s">
        <v>668</v>
      </c>
      <c r="B157" s="128" t="s">
        <v>525</v>
      </c>
      <c r="C157" s="128" t="s">
        <v>667</v>
      </c>
      <c r="D157" s="133" t="s">
        <v>198</v>
      </c>
      <c r="E157" s="133" t="s">
        <v>218</v>
      </c>
      <c r="F157" s="133" t="s">
        <v>210</v>
      </c>
      <c r="G157" s="145">
        <f>'пр.11 2023-2024г'!G284</f>
        <v>200</v>
      </c>
      <c r="H157" s="145">
        <f>'пр.11 2023-2024г'!H284</f>
        <v>0</v>
      </c>
      <c r="I157" s="216"/>
    </row>
    <row r="158" spans="1:9" ht="25.5">
      <c r="A158" s="68" t="s">
        <v>101</v>
      </c>
      <c r="B158" s="120" t="s">
        <v>1213</v>
      </c>
      <c r="C158" s="128"/>
      <c r="D158" s="133" t="s">
        <v>198</v>
      </c>
      <c r="E158" s="133" t="s">
        <v>218</v>
      </c>
      <c r="F158" s="133" t="s">
        <v>211</v>
      </c>
      <c r="G158" s="145">
        <f>G159+G160</f>
        <v>656.40000000000009</v>
      </c>
      <c r="H158" s="145">
        <v>0</v>
      </c>
      <c r="I158" s="216"/>
    </row>
    <row r="159" spans="1:9">
      <c r="A159" s="134" t="s">
        <v>600</v>
      </c>
      <c r="B159" s="120" t="s">
        <v>1213</v>
      </c>
      <c r="C159" s="128" t="s">
        <v>423</v>
      </c>
      <c r="D159" s="133" t="s">
        <v>198</v>
      </c>
      <c r="E159" s="133" t="s">
        <v>218</v>
      </c>
      <c r="F159" s="133" t="s">
        <v>211</v>
      </c>
      <c r="G159" s="145">
        <f>'пр.11 2023-2024г'!G287</f>
        <v>504.14746000000002</v>
      </c>
      <c r="H159" s="145">
        <v>0</v>
      </c>
      <c r="I159" s="216"/>
    </row>
    <row r="160" spans="1:9" ht="51">
      <c r="A160" s="571" t="s">
        <v>601</v>
      </c>
      <c r="B160" s="120" t="s">
        <v>1213</v>
      </c>
      <c r="C160" s="128" t="s">
        <v>425</v>
      </c>
      <c r="D160" s="133" t="s">
        <v>198</v>
      </c>
      <c r="E160" s="133" t="s">
        <v>218</v>
      </c>
      <c r="F160" s="133" t="s">
        <v>211</v>
      </c>
      <c r="G160" s="145">
        <f>'пр.11 2023-2024г'!G288</f>
        <v>152.25254000000001</v>
      </c>
      <c r="H160" s="145">
        <v>0</v>
      </c>
      <c r="I160" s="216"/>
    </row>
    <row r="161" spans="1:9" ht="25.5">
      <c r="A161" s="68" t="s">
        <v>101</v>
      </c>
      <c r="B161" s="120" t="s">
        <v>1213</v>
      </c>
      <c r="C161" s="128"/>
      <c r="D161" s="133" t="s">
        <v>198</v>
      </c>
      <c r="E161" s="133" t="s">
        <v>218</v>
      </c>
      <c r="F161" s="133" t="s">
        <v>211</v>
      </c>
      <c r="G161" s="145">
        <f>G162+G163</f>
        <v>873.04990999999995</v>
      </c>
      <c r="H161" s="145">
        <v>0</v>
      </c>
      <c r="I161" s="216"/>
    </row>
    <row r="162" spans="1:9">
      <c r="A162" s="134" t="s">
        <v>600</v>
      </c>
      <c r="B162" s="120" t="s">
        <v>1213</v>
      </c>
      <c r="C162" s="128" t="s">
        <v>423</v>
      </c>
      <c r="D162" s="133" t="s">
        <v>198</v>
      </c>
      <c r="E162" s="133" t="s">
        <v>218</v>
      </c>
      <c r="F162" s="133" t="s">
        <v>211</v>
      </c>
      <c r="G162" s="145">
        <f>'пр.11 2023-2024г'!G290</f>
        <v>670.54525000000001</v>
      </c>
      <c r="H162" s="145">
        <v>0</v>
      </c>
      <c r="I162" s="216"/>
    </row>
    <row r="163" spans="1:9" ht="51">
      <c r="A163" s="571" t="s">
        <v>601</v>
      </c>
      <c r="B163" s="120" t="s">
        <v>1213</v>
      </c>
      <c r="C163" s="128" t="s">
        <v>425</v>
      </c>
      <c r="D163" s="133" t="s">
        <v>198</v>
      </c>
      <c r="E163" s="133" t="s">
        <v>218</v>
      </c>
      <c r="F163" s="133" t="s">
        <v>211</v>
      </c>
      <c r="G163" s="145">
        <f>'пр.11 2023-2024г'!G291</f>
        <v>202.50466</v>
      </c>
      <c r="H163" s="145">
        <v>0</v>
      </c>
      <c r="I163" s="216"/>
    </row>
    <row r="164" spans="1:9">
      <c r="A164" s="134" t="s">
        <v>340</v>
      </c>
      <c r="B164" s="128" t="s">
        <v>525</v>
      </c>
      <c r="C164" s="128" t="s">
        <v>341</v>
      </c>
      <c r="D164" s="133" t="s">
        <v>198</v>
      </c>
      <c r="E164" s="133" t="s">
        <v>218</v>
      </c>
      <c r="F164" s="133" t="s">
        <v>213</v>
      </c>
      <c r="G164" s="145">
        <f>'пр.11 2023-2024г'!G294</f>
        <v>3895.7292699999998</v>
      </c>
      <c r="H164" s="145">
        <f>'пр.11 2023-2024г'!H294</f>
        <v>0</v>
      </c>
      <c r="I164" s="216"/>
    </row>
    <row r="165" spans="1:9" ht="25.5">
      <c r="A165" s="68" t="s">
        <v>704</v>
      </c>
      <c r="B165" s="589" t="s">
        <v>706</v>
      </c>
      <c r="C165" s="128"/>
      <c r="D165" s="133" t="s">
        <v>198</v>
      </c>
      <c r="E165" s="133" t="s">
        <v>218</v>
      </c>
      <c r="F165" s="133" t="s">
        <v>213</v>
      </c>
      <c r="G165" s="145">
        <f>G166</f>
        <v>7745.2</v>
      </c>
      <c r="H165" s="145">
        <f t="shared" ref="H165" si="8">H166</f>
        <v>0</v>
      </c>
      <c r="I165" s="216"/>
    </row>
    <row r="166" spans="1:9">
      <c r="A166" s="134" t="s">
        <v>338</v>
      </c>
      <c r="B166" s="590" t="s">
        <v>706</v>
      </c>
      <c r="C166" s="128" t="s">
        <v>409</v>
      </c>
      <c r="D166" s="133" t="s">
        <v>198</v>
      </c>
      <c r="E166" s="133" t="s">
        <v>218</v>
      </c>
      <c r="F166" s="133" t="s">
        <v>213</v>
      </c>
      <c r="G166" s="145">
        <f>'пр.11 2023-2024г'!G296</f>
        <v>7745.2</v>
      </c>
      <c r="H166" s="145">
        <f>'пр.11 2023-2024г'!H296</f>
        <v>0</v>
      </c>
      <c r="I166" s="216"/>
    </row>
    <row r="167" spans="1:9" ht="38.25">
      <c r="A167" s="68" t="s">
        <v>716</v>
      </c>
      <c r="B167" s="589" t="s">
        <v>706</v>
      </c>
      <c r="C167" s="128"/>
      <c r="D167" s="133" t="s">
        <v>198</v>
      </c>
      <c r="E167" s="133" t="s">
        <v>218</v>
      </c>
      <c r="F167" s="133" t="s">
        <v>213</v>
      </c>
      <c r="G167" s="145">
        <f>G168</f>
        <v>3923.7822799999999</v>
      </c>
      <c r="H167" s="145">
        <f t="shared" ref="H167" si="9">H168</f>
        <v>0</v>
      </c>
      <c r="I167" s="216"/>
    </row>
    <row r="168" spans="1:9">
      <c r="A168" s="134" t="s">
        <v>338</v>
      </c>
      <c r="B168" s="590" t="s">
        <v>706</v>
      </c>
      <c r="C168" s="128" t="s">
        <v>409</v>
      </c>
      <c r="D168" s="133" t="s">
        <v>198</v>
      </c>
      <c r="E168" s="133" t="s">
        <v>218</v>
      </c>
      <c r="F168" s="133" t="s">
        <v>213</v>
      </c>
      <c r="G168" s="145">
        <f>'пр.11 2023-2024г'!G298</f>
        <v>3923.7822799999999</v>
      </c>
      <c r="H168" s="145">
        <f>'пр.11 2023-2024г'!H298</f>
        <v>0</v>
      </c>
      <c r="I168" s="216"/>
    </row>
    <row r="169" spans="1:9" ht="38.25">
      <c r="A169" s="139" t="s">
        <v>1228</v>
      </c>
      <c r="B169" s="130" t="s">
        <v>551</v>
      </c>
      <c r="C169" s="131"/>
      <c r="D169" s="131" t="s">
        <v>612</v>
      </c>
      <c r="E169" s="131" t="s">
        <v>219</v>
      </c>
      <c r="F169" s="131" t="s">
        <v>217</v>
      </c>
      <c r="G169" s="143">
        <f>G170</f>
        <v>4566.7490499999994</v>
      </c>
      <c r="H169" s="143">
        <f>H170</f>
        <v>4611.0990499999998</v>
      </c>
      <c r="I169" s="216"/>
    </row>
    <row r="170" spans="1:9" ht="63.75">
      <c r="A170" s="519" t="s">
        <v>863</v>
      </c>
      <c r="B170" s="646" t="s">
        <v>551</v>
      </c>
      <c r="C170" s="521"/>
      <c r="D170" s="632" t="s">
        <v>612</v>
      </c>
      <c r="E170" s="646"/>
      <c r="F170" s="646"/>
      <c r="G170" s="522">
        <f>G171+G172+G173+G175+G177</f>
        <v>4566.7490499999994</v>
      </c>
      <c r="H170" s="522">
        <f>H171+H172+H173+H175+H177</f>
        <v>4611.0990499999998</v>
      </c>
      <c r="I170" s="216"/>
    </row>
    <row r="171" spans="1:9" ht="25.5">
      <c r="A171" s="328" t="s">
        <v>403</v>
      </c>
      <c r="B171" s="646" t="s">
        <v>1216</v>
      </c>
      <c r="C171" s="632" t="s">
        <v>1208</v>
      </c>
      <c r="D171" s="632" t="s">
        <v>198</v>
      </c>
      <c r="E171" s="646" t="s">
        <v>210</v>
      </c>
      <c r="F171" s="646" t="s">
        <v>219</v>
      </c>
      <c r="G171" s="391">
        <f>'пр.11 2023-2024г'!G86</f>
        <v>1895.088</v>
      </c>
      <c r="H171" s="391">
        <f>'пр.11 2023-2024г'!H86</f>
        <v>1895.088</v>
      </c>
      <c r="I171" s="216"/>
    </row>
    <row r="172" spans="1:9" ht="38.25">
      <c r="A172" s="251" t="s">
        <v>258</v>
      </c>
      <c r="B172" s="133" t="s">
        <v>515</v>
      </c>
      <c r="C172" s="133" t="s">
        <v>401</v>
      </c>
      <c r="D172" s="133" t="s">
        <v>612</v>
      </c>
      <c r="E172" s="132" t="s">
        <v>219</v>
      </c>
      <c r="F172" s="132" t="s">
        <v>217</v>
      </c>
      <c r="G172" s="145">
        <f>'пр.11 2023-2024г'!G443</f>
        <v>1500</v>
      </c>
      <c r="H172" s="145">
        <f>'пр.11 2023-2024г'!H443</f>
        <v>1500</v>
      </c>
      <c r="I172" s="216"/>
    </row>
    <row r="173" spans="1:9" ht="38.25">
      <c r="A173" s="594" t="s">
        <v>427</v>
      </c>
      <c r="B173" s="120" t="s">
        <v>666</v>
      </c>
      <c r="C173" s="133"/>
      <c r="D173" s="133" t="s">
        <v>612</v>
      </c>
      <c r="E173" s="132" t="s">
        <v>219</v>
      </c>
      <c r="F173" s="132" t="s">
        <v>217</v>
      </c>
      <c r="G173" s="145">
        <f>G174</f>
        <v>500</v>
      </c>
      <c r="H173" s="145">
        <f>H174</f>
        <v>535.6</v>
      </c>
      <c r="I173" s="216"/>
    </row>
    <row r="174" spans="1:9" ht="38.25">
      <c r="A174" s="138" t="s">
        <v>267</v>
      </c>
      <c r="B174" s="120" t="s">
        <v>666</v>
      </c>
      <c r="C174" s="133" t="s">
        <v>401</v>
      </c>
      <c r="D174" s="133" t="s">
        <v>612</v>
      </c>
      <c r="E174" s="132" t="s">
        <v>219</v>
      </c>
      <c r="F174" s="132" t="s">
        <v>217</v>
      </c>
      <c r="G174" s="145">
        <f>'пр.11 2023-2024г'!G445</f>
        <v>500</v>
      </c>
      <c r="H174" s="145">
        <f>'пр.11 2023-2024г'!H445</f>
        <v>535.6</v>
      </c>
      <c r="I174" s="216"/>
    </row>
    <row r="175" spans="1:9" ht="51">
      <c r="A175" s="496" t="s">
        <v>559</v>
      </c>
      <c r="B175" s="142" t="s">
        <v>558</v>
      </c>
      <c r="C175" s="132"/>
      <c r="D175" s="133" t="s">
        <v>612</v>
      </c>
      <c r="E175" s="132" t="s">
        <v>219</v>
      </c>
      <c r="F175" s="132" t="s">
        <v>217</v>
      </c>
      <c r="G175" s="145">
        <f>G176</f>
        <v>125</v>
      </c>
      <c r="H175" s="145">
        <f>H176</f>
        <v>133.75</v>
      </c>
      <c r="I175" s="216"/>
    </row>
    <row r="176" spans="1:9" ht="38.25">
      <c r="A176" s="251" t="s">
        <v>258</v>
      </c>
      <c r="B176" s="120" t="s">
        <v>558</v>
      </c>
      <c r="C176" s="133" t="s">
        <v>401</v>
      </c>
      <c r="D176" s="133" t="s">
        <v>612</v>
      </c>
      <c r="E176" s="132" t="s">
        <v>219</v>
      </c>
      <c r="F176" s="132" t="s">
        <v>217</v>
      </c>
      <c r="G176" s="145">
        <f>'пр.11 2023-2024г'!G447</f>
        <v>125</v>
      </c>
      <c r="H176" s="145">
        <f>'пр.11 2023-2024г'!H447</f>
        <v>133.75</v>
      </c>
      <c r="I176" s="216"/>
    </row>
    <row r="177" spans="1:9" ht="44.25" customHeight="1">
      <c r="A177" s="849" t="s">
        <v>420</v>
      </c>
      <c r="B177" s="128" t="s">
        <v>1215</v>
      </c>
      <c r="C177" s="133"/>
      <c r="D177" s="133"/>
      <c r="E177" s="132" t="s">
        <v>220</v>
      </c>
      <c r="F177" s="132" t="s">
        <v>220</v>
      </c>
      <c r="G177" s="145">
        <f>G178+G179+G180</f>
        <v>546.66104999999993</v>
      </c>
      <c r="H177" s="145">
        <f>H178+H179+H180</f>
        <v>546.66104999999993</v>
      </c>
      <c r="I177" s="216"/>
    </row>
    <row r="178" spans="1:9" ht="38.25">
      <c r="A178" s="138" t="s">
        <v>267</v>
      </c>
      <c r="B178" s="128" t="s">
        <v>1215</v>
      </c>
      <c r="C178" s="133" t="s">
        <v>401</v>
      </c>
      <c r="D178" s="133" t="s">
        <v>1229</v>
      </c>
      <c r="E178" s="132" t="s">
        <v>220</v>
      </c>
      <c r="F178" s="132" t="s">
        <v>220</v>
      </c>
      <c r="G178" s="145">
        <f>'пр. 10 2022г'!G583</f>
        <v>260.73226</v>
      </c>
      <c r="H178" s="145">
        <f>'пр.11 2023-2024г'!H467</f>
        <v>260.73226</v>
      </c>
      <c r="I178" s="216"/>
    </row>
    <row r="179" spans="1:9">
      <c r="A179" s="4" t="s">
        <v>1026</v>
      </c>
      <c r="B179" s="128" t="s">
        <v>1215</v>
      </c>
      <c r="C179" s="133" t="s">
        <v>1025</v>
      </c>
      <c r="D179" s="133" t="s">
        <v>612</v>
      </c>
      <c r="E179" s="132" t="s">
        <v>220</v>
      </c>
      <c r="F179" s="132" t="s">
        <v>220</v>
      </c>
      <c r="G179" s="145">
        <f>'пр.11 2023-2024г'!G468</f>
        <v>280.49878999999999</v>
      </c>
      <c r="H179" s="145">
        <f>'пр.11 2023-2024г'!H468</f>
        <v>280.49878999999999</v>
      </c>
      <c r="I179" s="216"/>
    </row>
    <row r="180" spans="1:9" ht="25.5">
      <c r="A180" s="134" t="s">
        <v>403</v>
      </c>
      <c r="B180" s="120" t="s">
        <v>1216</v>
      </c>
      <c r="C180" s="133" t="s">
        <v>1208</v>
      </c>
      <c r="D180" s="133" t="s">
        <v>612</v>
      </c>
      <c r="E180" s="132" t="s">
        <v>220</v>
      </c>
      <c r="F180" s="132" t="s">
        <v>220</v>
      </c>
      <c r="G180" s="145">
        <f>'пр.11 2023-2024г'!G469</f>
        <v>5.43</v>
      </c>
      <c r="H180" s="145">
        <f>'пр.11 2023-2024г'!H469</f>
        <v>5.43</v>
      </c>
      <c r="I180" s="216"/>
    </row>
    <row r="181" spans="1:9" ht="38.25">
      <c r="A181" s="473" t="s">
        <v>1274</v>
      </c>
      <c r="B181" s="211" t="s">
        <v>727</v>
      </c>
      <c r="C181" s="229"/>
      <c r="D181" s="229" t="s">
        <v>612</v>
      </c>
      <c r="E181" s="557"/>
      <c r="F181" s="557"/>
      <c r="G181" s="353">
        <f>G182</f>
        <v>98264.7</v>
      </c>
      <c r="H181" s="353">
        <f>H182</f>
        <v>10378.5</v>
      </c>
      <c r="I181" s="216"/>
    </row>
    <row r="182" spans="1:9" ht="51">
      <c r="A182" s="209" t="s">
        <v>862</v>
      </c>
      <c r="B182" s="659" t="s">
        <v>727</v>
      </c>
      <c r="C182" s="521"/>
      <c r="D182" s="521" t="s">
        <v>612</v>
      </c>
      <c r="E182" s="569"/>
      <c r="F182" s="569"/>
      <c r="G182" s="522">
        <f>G183+G184+G186+G188+G190</f>
        <v>98264.7</v>
      </c>
      <c r="H182" s="522">
        <f>H183+H184+H186+H188+H190</f>
        <v>10378.5</v>
      </c>
      <c r="I182" s="216"/>
    </row>
    <row r="183" spans="1:9" ht="38.25">
      <c r="A183" s="138" t="s">
        <v>267</v>
      </c>
      <c r="B183" s="865" t="s">
        <v>577</v>
      </c>
      <c r="C183" s="120" t="s">
        <v>401</v>
      </c>
      <c r="D183" s="133" t="s">
        <v>612</v>
      </c>
      <c r="E183" s="132" t="s">
        <v>219</v>
      </c>
      <c r="F183" s="132" t="s">
        <v>217</v>
      </c>
      <c r="G183" s="145">
        <f>'пр.11 2023-2024г'!G450</f>
        <v>2150</v>
      </c>
      <c r="H183" s="145">
        <f>'пр.11 2023-2024г'!H450</f>
        <v>2150</v>
      </c>
      <c r="I183" s="216"/>
    </row>
    <row r="184" spans="1:9" ht="76.5">
      <c r="A184" s="594" t="s">
        <v>99</v>
      </c>
      <c r="B184" s="120" t="s">
        <v>752</v>
      </c>
      <c r="C184" s="120"/>
      <c r="D184" s="133" t="s">
        <v>612</v>
      </c>
      <c r="E184" s="132" t="s">
        <v>219</v>
      </c>
      <c r="F184" s="132" t="s">
        <v>217</v>
      </c>
      <c r="G184" s="145">
        <f>G185</f>
        <v>7428.5</v>
      </c>
      <c r="H184" s="145">
        <f>H185</f>
        <v>7428.5</v>
      </c>
      <c r="I184" s="216"/>
    </row>
    <row r="185" spans="1:9" ht="38.25">
      <c r="A185" s="138" t="s">
        <v>267</v>
      </c>
      <c r="B185" s="120" t="s">
        <v>752</v>
      </c>
      <c r="C185" s="120" t="s">
        <v>401</v>
      </c>
      <c r="D185" s="133" t="s">
        <v>612</v>
      </c>
      <c r="E185" s="132" t="s">
        <v>219</v>
      </c>
      <c r="F185" s="132" t="s">
        <v>217</v>
      </c>
      <c r="G185" s="145">
        <f>'пр.11 2023-2024г'!G452</f>
        <v>7428.5</v>
      </c>
      <c r="H185" s="145">
        <f>'пр.11 2023-2024г'!H452</f>
        <v>7428.5</v>
      </c>
      <c r="I185" s="216"/>
    </row>
    <row r="186" spans="1:9" ht="89.25">
      <c r="A186" s="594" t="s">
        <v>557</v>
      </c>
      <c r="B186" s="120" t="s">
        <v>752</v>
      </c>
      <c r="C186" s="120"/>
      <c r="D186" s="133" t="s">
        <v>612</v>
      </c>
      <c r="E186" s="132" t="s">
        <v>219</v>
      </c>
      <c r="F186" s="132" t="s">
        <v>217</v>
      </c>
      <c r="G186" s="145">
        <f>G187</f>
        <v>800</v>
      </c>
      <c r="H186" s="145">
        <f>H187</f>
        <v>800</v>
      </c>
      <c r="I186" s="216"/>
    </row>
    <row r="187" spans="1:9" ht="38.25">
      <c r="A187" s="138" t="s">
        <v>267</v>
      </c>
      <c r="B187" s="120" t="s">
        <v>752</v>
      </c>
      <c r="C187" s="128" t="s">
        <v>401</v>
      </c>
      <c r="D187" s="133" t="s">
        <v>612</v>
      </c>
      <c r="E187" s="132" t="s">
        <v>219</v>
      </c>
      <c r="F187" s="132" t="s">
        <v>217</v>
      </c>
      <c r="G187" s="145">
        <f>'пр.11 2023-2024г'!G454</f>
        <v>800</v>
      </c>
      <c r="H187" s="145">
        <f>'пр.11 2023-2024г'!H454</f>
        <v>800</v>
      </c>
      <c r="I187" s="216"/>
    </row>
    <row r="188" spans="1:9" ht="25.5">
      <c r="A188" s="135" t="s">
        <v>1014</v>
      </c>
      <c r="B188" s="120" t="s">
        <v>709</v>
      </c>
      <c r="C188" s="120"/>
      <c r="D188" s="520">
        <v>937</v>
      </c>
      <c r="E188" s="120" t="s">
        <v>220</v>
      </c>
      <c r="F188" s="120" t="s">
        <v>220</v>
      </c>
      <c r="G188" s="145">
        <f>G189</f>
        <v>23072</v>
      </c>
      <c r="H188" s="145">
        <v>0</v>
      </c>
      <c r="I188" s="216"/>
    </row>
    <row r="189" spans="1:9">
      <c r="A189" s="138" t="s">
        <v>768</v>
      </c>
      <c r="B189" s="120" t="s">
        <v>709</v>
      </c>
      <c r="C189" s="851">
        <v>414</v>
      </c>
      <c r="D189" s="520">
        <v>937</v>
      </c>
      <c r="E189" s="120" t="s">
        <v>220</v>
      </c>
      <c r="F189" s="120" t="s">
        <v>220</v>
      </c>
      <c r="G189" s="145">
        <f>'пр.11 2023-2024г'!G473</f>
        <v>23072</v>
      </c>
      <c r="H189" s="145">
        <v>0</v>
      </c>
      <c r="I189" s="216"/>
    </row>
    <row r="190" spans="1:9" ht="38.25">
      <c r="A190" s="134" t="s">
        <v>764</v>
      </c>
      <c r="B190" s="128" t="s">
        <v>769</v>
      </c>
      <c r="C190" s="120"/>
      <c r="D190" s="133" t="s">
        <v>612</v>
      </c>
      <c r="E190" s="132" t="s">
        <v>212</v>
      </c>
      <c r="F190" s="132" t="s">
        <v>210</v>
      </c>
      <c r="G190" s="145">
        <f>G191</f>
        <v>64814.2</v>
      </c>
      <c r="H190" s="145">
        <v>0</v>
      </c>
      <c r="I190" s="216"/>
    </row>
    <row r="191" spans="1:9">
      <c r="A191" s="138" t="s">
        <v>768</v>
      </c>
      <c r="B191" s="128" t="s">
        <v>769</v>
      </c>
      <c r="C191" s="851">
        <v>414</v>
      </c>
      <c r="D191" s="133" t="s">
        <v>612</v>
      </c>
      <c r="E191" s="132" t="s">
        <v>212</v>
      </c>
      <c r="F191" s="132" t="s">
        <v>210</v>
      </c>
      <c r="G191" s="145">
        <f>'пр.11 2023-2024г'!G479</f>
        <v>64814.2</v>
      </c>
      <c r="H191" s="145">
        <v>0</v>
      </c>
      <c r="I191" s="216"/>
    </row>
    <row r="192" spans="1:9" ht="38.25">
      <c r="A192" s="473" t="s">
        <v>1114</v>
      </c>
      <c r="B192" s="568" t="s">
        <v>634</v>
      </c>
      <c r="C192" s="229"/>
      <c r="D192" s="229" t="s">
        <v>198</v>
      </c>
      <c r="E192" s="229"/>
      <c r="F192" s="229"/>
      <c r="G192" s="353">
        <f>G193</f>
        <v>10227.5173</v>
      </c>
      <c r="H192" s="353">
        <f>H193</f>
        <v>11363.952600000001</v>
      </c>
      <c r="I192" s="216"/>
    </row>
    <row r="193" spans="1:9" ht="51">
      <c r="A193" s="209" t="s">
        <v>882</v>
      </c>
      <c r="B193" s="660"/>
      <c r="C193" s="521"/>
      <c r="D193" s="632" t="s">
        <v>198</v>
      </c>
      <c r="E193" s="632" t="s">
        <v>223</v>
      </c>
      <c r="F193" s="632" t="s">
        <v>213</v>
      </c>
      <c r="G193" s="522">
        <f>G194+G196</f>
        <v>10227.5173</v>
      </c>
      <c r="H193" s="522">
        <f t="shared" ref="H193" si="10">H194+H196</f>
        <v>11363.952600000001</v>
      </c>
      <c r="I193" s="216"/>
    </row>
    <row r="194" spans="1:9" ht="51">
      <c r="A194" s="134" t="s">
        <v>1117</v>
      </c>
      <c r="B194" s="568" t="s">
        <v>634</v>
      </c>
      <c r="C194" s="345"/>
      <c r="D194" s="128" t="s">
        <v>198</v>
      </c>
      <c r="E194" s="128" t="s">
        <v>223</v>
      </c>
      <c r="F194" s="128" t="s">
        <v>213</v>
      </c>
      <c r="G194" s="354">
        <f>G195</f>
        <v>10217.299999999999</v>
      </c>
      <c r="H194" s="354">
        <f>H195</f>
        <v>11352.6</v>
      </c>
      <c r="I194" s="216"/>
    </row>
    <row r="195" spans="1:9">
      <c r="A195" s="134" t="s">
        <v>399</v>
      </c>
      <c r="B195" s="568" t="s">
        <v>634</v>
      </c>
      <c r="C195" s="120" t="s">
        <v>410</v>
      </c>
      <c r="D195" s="128" t="s">
        <v>198</v>
      </c>
      <c r="E195" s="128" t="s">
        <v>223</v>
      </c>
      <c r="F195" s="128" t="s">
        <v>213</v>
      </c>
      <c r="G195" s="144">
        <f>'пр.11 2023-2024г'!G326</f>
        <v>10217.299999999999</v>
      </c>
      <c r="H195" s="144">
        <f>'пр.11 2023-2024г'!H326</f>
        <v>11352.6</v>
      </c>
      <c r="I195" s="216"/>
    </row>
    <row r="196" spans="1:9" ht="51">
      <c r="A196" s="134" t="s">
        <v>1118</v>
      </c>
      <c r="B196" s="568" t="s">
        <v>634</v>
      </c>
      <c r="C196" s="120"/>
      <c r="D196" s="128" t="s">
        <v>198</v>
      </c>
      <c r="E196" s="128" t="s">
        <v>223</v>
      </c>
      <c r="F196" s="128" t="s">
        <v>213</v>
      </c>
      <c r="G196" s="144">
        <f>G197</f>
        <v>10.2173</v>
      </c>
      <c r="H196" s="144">
        <f>H197</f>
        <v>11.352600000000001</v>
      </c>
      <c r="I196" s="216"/>
    </row>
    <row r="197" spans="1:9">
      <c r="A197" s="134" t="s">
        <v>399</v>
      </c>
      <c r="B197" s="568" t="s">
        <v>634</v>
      </c>
      <c r="C197" s="120" t="s">
        <v>410</v>
      </c>
      <c r="D197" s="128" t="s">
        <v>198</v>
      </c>
      <c r="E197" s="128" t="s">
        <v>223</v>
      </c>
      <c r="F197" s="128" t="s">
        <v>213</v>
      </c>
      <c r="G197" s="144">
        <f>'пр.11 2023-2024г'!G328</f>
        <v>10.2173</v>
      </c>
      <c r="H197" s="144">
        <f>'пр.11 2023-2024г'!H328</f>
        <v>11.352600000000001</v>
      </c>
      <c r="I197" s="216"/>
    </row>
    <row r="198" spans="1:9" ht="38.25">
      <c r="A198" s="473" t="s">
        <v>781</v>
      </c>
      <c r="B198" s="557" t="s">
        <v>755</v>
      </c>
      <c r="C198" s="229"/>
      <c r="D198" s="229" t="s">
        <v>198</v>
      </c>
      <c r="E198" s="229"/>
      <c r="F198" s="229"/>
      <c r="G198" s="353">
        <f>G199</f>
        <v>113.0228</v>
      </c>
      <c r="H198" s="353">
        <f>H199</f>
        <v>0</v>
      </c>
      <c r="I198" s="216"/>
    </row>
    <row r="199" spans="1:9" ht="25.5">
      <c r="A199" s="134" t="s">
        <v>881</v>
      </c>
      <c r="B199" s="128" t="s">
        <v>755</v>
      </c>
      <c r="C199" s="120"/>
      <c r="D199" s="128" t="s">
        <v>198</v>
      </c>
      <c r="E199" s="128" t="s">
        <v>223</v>
      </c>
      <c r="F199" s="128" t="s">
        <v>213</v>
      </c>
      <c r="G199" s="144">
        <f>G200</f>
        <v>113.0228</v>
      </c>
      <c r="H199" s="144"/>
      <c r="I199" s="216"/>
    </row>
    <row r="200" spans="1:9">
      <c r="A200" s="134" t="s">
        <v>399</v>
      </c>
      <c r="B200" s="128" t="s">
        <v>755</v>
      </c>
      <c r="C200" s="120" t="s">
        <v>410</v>
      </c>
      <c r="D200" s="128" t="s">
        <v>198</v>
      </c>
      <c r="E200" s="128" t="s">
        <v>223</v>
      </c>
      <c r="F200" s="128" t="s">
        <v>213</v>
      </c>
      <c r="G200" s="144">
        <f>'пр.11 2023-2024г'!G318</f>
        <v>113.0228</v>
      </c>
      <c r="H200" s="144"/>
      <c r="I200" s="216"/>
    </row>
    <row r="201" spans="1:9" ht="51">
      <c r="A201" s="761" t="s">
        <v>1052</v>
      </c>
      <c r="B201" s="229"/>
      <c r="C201" s="628"/>
      <c r="D201" s="628" t="s">
        <v>112</v>
      </c>
      <c r="E201" s="628" t="s">
        <v>212</v>
      </c>
      <c r="F201" s="628" t="s">
        <v>211</v>
      </c>
      <c r="G201" s="629">
        <f>G202</f>
        <v>113.0228</v>
      </c>
      <c r="H201" s="353">
        <f>H202</f>
        <v>0</v>
      </c>
      <c r="I201" s="766"/>
    </row>
    <row r="202" spans="1:9" ht="28.5" customHeight="1">
      <c r="A202" s="760" t="s">
        <v>1053</v>
      </c>
      <c r="B202" s="632" t="s">
        <v>1054</v>
      </c>
      <c r="C202" s="622"/>
      <c r="D202" s="622" t="s">
        <v>112</v>
      </c>
      <c r="E202" s="622" t="s">
        <v>212</v>
      </c>
      <c r="F202" s="622" t="s">
        <v>211</v>
      </c>
      <c r="G202" s="624">
        <f>G203</f>
        <v>113.0228</v>
      </c>
      <c r="H202" s="145">
        <f>H203</f>
        <v>0</v>
      </c>
      <c r="I202" s="767"/>
    </row>
    <row r="203" spans="1:9">
      <c r="A203" s="134" t="s">
        <v>494</v>
      </c>
      <c r="B203" s="632" t="s">
        <v>1054</v>
      </c>
      <c r="C203" s="622" t="s">
        <v>260</v>
      </c>
      <c r="D203" s="622" t="s">
        <v>112</v>
      </c>
      <c r="E203" s="622" t="s">
        <v>212</v>
      </c>
      <c r="F203" s="622" t="s">
        <v>211</v>
      </c>
      <c r="G203" s="624">
        <f>'пр.11 2023-2024г'!G377</f>
        <v>113.0228</v>
      </c>
      <c r="H203" s="145"/>
      <c r="I203" s="767"/>
    </row>
    <row r="204" spans="1:9" ht="38.25">
      <c r="A204" s="473" t="s">
        <v>1075</v>
      </c>
      <c r="B204" s="368"/>
      <c r="C204" s="769"/>
      <c r="D204" s="769"/>
      <c r="E204" s="769"/>
      <c r="F204" s="769"/>
      <c r="G204" s="770">
        <f>G205</f>
        <v>2000</v>
      </c>
      <c r="H204" s="619">
        <f>H205</f>
        <v>0</v>
      </c>
      <c r="I204" s="767"/>
    </row>
    <row r="205" spans="1:9" ht="38.25">
      <c r="A205" s="45" t="s">
        <v>1106</v>
      </c>
      <c r="B205" s="463" t="s">
        <v>1104</v>
      </c>
      <c r="C205" s="622"/>
      <c r="D205" s="622"/>
      <c r="E205" s="622"/>
      <c r="F205" s="622"/>
      <c r="G205" s="624">
        <f>G206</f>
        <v>2000</v>
      </c>
      <c r="H205" s="145">
        <f>H206</f>
        <v>0</v>
      </c>
      <c r="I205" s="767"/>
    </row>
    <row r="206" spans="1:9">
      <c r="A206" s="134" t="s">
        <v>494</v>
      </c>
      <c r="B206" s="463" t="s">
        <v>1104</v>
      </c>
      <c r="C206" s="777" t="s">
        <v>260</v>
      </c>
      <c r="D206" s="777" t="s">
        <v>112</v>
      </c>
      <c r="E206" s="777" t="s">
        <v>212</v>
      </c>
      <c r="F206" s="777" t="s">
        <v>211</v>
      </c>
      <c r="G206" s="624">
        <f>'пр.11 2023-2024г'!G380</f>
        <v>2000</v>
      </c>
      <c r="H206" s="145">
        <f>'пр.11 2023-2024г'!H380</f>
        <v>0</v>
      </c>
      <c r="I206" s="767"/>
    </row>
    <row r="207" spans="1:9">
      <c r="A207" s="360" t="s">
        <v>140</v>
      </c>
      <c r="B207" s="211"/>
      <c r="C207" s="211"/>
      <c r="D207" s="211"/>
      <c r="E207" s="211"/>
      <c r="F207" s="211"/>
      <c r="G207" s="353">
        <f>G11+G14+G24+G27+G45+G59+G138+G152+G169+G181+G192+G201+G204+G198</f>
        <v>264941.44146999996</v>
      </c>
      <c r="H207" s="353">
        <f>H11+H14+H24+H27+H45+H59+H138+H152+H169+H181+H192+H201+H204</f>
        <v>87445.818500000008</v>
      </c>
      <c r="I207" s="216"/>
    </row>
    <row r="208" spans="1:9">
      <c r="A208" s="358"/>
      <c r="B208" s="356"/>
      <c r="C208" s="357"/>
      <c r="D208" s="357"/>
      <c r="E208" s="357"/>
      <c r="F208" s="357"/>
      <c r="G208" s="397"/>
      <c r="H208" s="397"/>
    </row>
    <row r="209" spans="1:9">
      <c r="A209" s="358"/>
      <c r="B209" s="356"/>
      <c r="C209" s="356"/>
      <c r="D209" s="357"/>
      <c r="E209" s="357"/>
      <c r="F209" s="357"/>
      <c r="G209" s="397"/>
      <c r="H209" s="397"/>
    </row>
    <row r="210" spans="1:9">
      <c r="A210" s="359"/>
      <c r="B210" s="352"/>
      <c r="C210" s="352"/>
      <c r="D210" s="352"/>
      <c r="E210" s="352"/>
      <c r="F210" s="352"/>
      <c r="G210" s="398"/>
      <c r="H210" s="398"/>
    </row>
    <row r="211" spans="1:9">
      <c r="A211" s="359"/>
      <c r="B211" s="352"/>
      <c r="C211" s="352"/>
      <c r="D211" s="352"/>
      <c r="E211" s="352"/>
      <c r="F211" s="352"/>
      <c r="G211" s="398"/>
      <c r="H211" s="398"/>
    </row>
    <row r="218" spans="1:9">
      <c r="I218" s="361"/>
    </row>
    <row r="219" spans="1:9">
      <c r="I219" s="252"/>
    </row>
    <row r="220" spans="1:9">
      <c r="I220" s="252"/>
    </row>
    <row r="221" spans="1:9">
      <c r="I221" s="252"/>
    </row>
    <row r="222" spans="1:9">
      <c r="I222" s="252"/>
    </row>
  </sheetData>
  <mergeCells count="2">
    <mergeCell ref="F7:G7"/>
    <mergeCell ref="A8:G8"/>
  </mergeCells>
  <pageMargins left="0.7" right="0.7" top="0.75" bottom="0.75" header="0.3" footer="0.3"/>
  <pageSetup paperSize="9" scale="70" orientation="portrait" r:id="rId1"/>
</worksheet>
</file>

<file path=xl/worksheets/sheet16.xml><?xml version="1.0" encoding="utf-8"?>
<worksheet xmlns="http://schemas.openxmlformats.org/spreadsheetml/2006/main" xmlns:r="http://schemas.openxmlformats.org/officeDocument/2006/relationships">
  <sheetPr>
    <tabColor rgb="FFFFFF00"/>
  </sheetPr>
  <dimension ref="A1:C21"/>
  <sheetViews>
    <sheetView view="pageBreakPreview" zoomScaleSheetLayoutView="100" workbookViewId="0">
      <selection activeCell="H23" sqref="H23"/>
    </sheetView>
  </sheetViews>
  <sheetFormatPr defaultRowHeight="12.75"/>
  <cols>
    <col min="1" max="1" width="4.140625" style="4" customWidth="1"/>
    <col min="2" max="2" width="61.7109375" style="4" customWidth="1"/>
    <col min="3" max="3" width="16.140625" style="4" customWidth="1"/>
    <col min="4" max="16384" width="9.140625" style="4"/>
  </cols>
  <sheetData>
    <row r="1" spans="1:3">
      <c r="C1" s="475" t="s">
        <v>438</v>
      </c>
    </row>
    <row r="2" spans="1:3">
      <c r="C2" s="22" t="s">
        <v>199</v>
      </c>
    </row>
    <row r="3" spans="1:3">
      <c r="C3" s="22" t="s">
        <v>114</v>
      </c>
    </row>
    <row r="4" spans="1:3">
      <c r="C4" s="22" t="s">
        <v>148</v>
      </c>
    </row>
    <row r="5" spans="1:3">
      <c r="C5" s="22" t="s">
        <v>191</v>
      </c>
    </row>
    <row r="6" spans="1:3">
      <c r="A6" s="972" t="s">
        <v>1132</v>
      </c>
      <c r="B6" s="972"/>
      <c r="C6" s="972"/>
    </row>
    <row r="7" spans="1:3">
      <c r="A7" s="999" t="s">
        <v>1278</v>
      </c>
      <c r="B7" s="999"/>
      <c r="C7" s="999"/>
    </row>
    <row r="8" spans="1:3">
      <c r="C8" s="50"/>
    </row>
    <row r="9" spans="1:3" ht="36" customHeight="1">
      <c r="A9" s="1003" t="s">
        <v>1275</v>
      </c>
      <c r="B9" s="1003"/>
      <c r="C9" s="1003"/>
    </row>
    <row r="10" spans="1:3">
      <c r="A10" s="1004"/>
      <c r="B10" s="1004"/>
      <c r="C10" s="1004"/>
    </row>
    <row r="11" spans="1:3">
      <c r="C11" s="29" t="s">
        <v>150</v>
      </c>
    </row>
    <row r="12" spans="1:3" ht="15.75" customHeight="1">
      <c r="A12" s="32" t="s">
        <v>357</v>
      </c>
      <c r="B12" s="32" t="s">
        <v>11</v>
      </c>
      <c r="C12" s="35" t="s">
        <v>209</v>
      </c>
    </row>
    <row r="13" spans="1:3">
      <c r="A13" s="1005">
        <v>1</v>
      </c>
      <c r="B13" s="1001" t="s">
        <v>14</v>
      </c>
      <c r="C13" s="1002"/>
    </row>
    <row r="14" spans="1:3">
      <c r="A14" s="1005"/>
      <c r="B14" s="25" t="s">
        <v>12</v>
      </c>
      <c r="C14" s="52">
        <v>0</v>
      </c>
    </row>
    <row r="15" spans="1:3" ht="17.25" customHeight="1">
      <c r="A15" s="1005"/>
      <c r="B15" s="25" t="s">
        <v>13</v>
      </c>
      <c r="C15" s="52">
        <v>0</v>
      </c>
    </row>
    <row r="16" spans="1:3" ht="24.75" customHeight="1">
      <c r="A16" s="1000">
        <v>2</v>
      </c>
      <c r="B16" s="1001" t="s">
        <v>200</v>
      </c>
      <c r="C16" s="1002"/>
    </row>
    <row r="17" spans="1:3">
      <c r="A17" s="1000"/>
      <c r="B17" s="25" t="s">
        <v>12</v>
      </c>
      <c r="C17" s="52">
        <v>0</v>
      </c>
    </row>
    <row r="18" spans="1:3">
      <c r="A18" s="1000"/>
      <c r="B18" s="25" t="s">
        <v>13</v>
      </c>
      <c r="C18" s="52">
        <v>-675</v>
      </c>
    </row>
    <row r="19" spans="1:3" ht="30" customHeight="1">
      <c r="A19" s="1000">
        <v>3</v>
      </c>
      <c r="B19" s="1001" t="s">
        <v>184</v>
      </c>
      <c r="C19" s="1002"/>
    </row>
    <row r="20" spans="1:3">
      <c r="A20" s="1000"/>
      <c r="B20" s="25" t="s">
        <v>12</v>
      </c>
      <c r="C20" s="52">
        <v>0</v>
      </c>
    </row>
    <row r="21" spans="1:3">
      <c r="A21" s="1000"/>
      <c r="B21" s="25" t="s">
        <v>13</v>
      </c>
      <c r="C21" s="52">
        <v>-675</v>
      </c>
    </row>
  </sheetData>
  <mergeCells count="10">
    <mergeCell ref="A6:C6"/>
    <mergeCell ref="A7:C7"/>
    <mergeCell ref="A19:A21"/>
    <mergeCell ref="B19:C19"/>
    <mergeCell ref="A9:C9"/>
    <mergeCell ref="A10:C10"/>
    <mergeCell ref="A13:A15"/>
    <mergeCell ref="B13:C13"/>
    <mergeCell ref="A16:A18"/>
    <mergeCell ref="B16:C16"/>
  </mergeCells>
  <phoneticPr fontId="16"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tabColor rgb="FFFFFF00"/>
  </sheetPr>
  <dimension ref="A1:D22"/>
  <sheetViews>
    <sheetView view="pageBreakPreview" zoomScale="110" zoomScaleSheetLayoutView="110" workbookViewId="0">
      <selection activeCell="H11" sqref="H11"/>
    </sheetView>
  </sheetViews>
  <sheetFormatPr defaultRowHeight="12.75"/>
  <cols>
    <col min="1" max="1" width="4.140625" style="4" customWidth="1"/>
    <col min="2" max="2" width="61.7109375" style="4" customWidth="1"/>
    <col min="3" max="3" width="16.140625" style="4" customWidth="1"/>
    <col min="4" max="4" width="10.5703125" style="4" customWidth="1"/>
    <col min="5" max="16384" width="9.140625" style="4"/>
  </cols>
  <sheetData>
    <row r="1" spans="1:4">
      <c r="B1" s="972" t="s">
        <v>554</v>
      </c>
      <c r="C1" s="972"/>
      <c r="D1" s="972"/>
    </row>
    <row r="2" spans="1:4">
      <c r="B2" s="972" t="s">
        <v>199</v>
      </c>
      <c r="C2" s="972"/>
      <c r="D2" s="972"/>
    </row>
    <row r="3" spans="1:4">
      <c r="B3" s="972" t="s">
        <v>114</v>
      </c>
      <c r="C3" s="972"/>
      <c r="D3" s="972"/>
    </row>
    <row r="4" spans="1:4">
      <c r="B4" s="972" t="s">
        <v>148</v>
      </c>
      <c r="C4" s="972"/>
      <c r="D4" s="972"/>
    </row>
    <row r="5" spans="1:4">
      <c r="B5" s="972" t="s">
        <v>191</v>
      </c>
      <c r="C5" s="972"/>
      <c r="D5" s="972"/>
    </row>
    <row r="6" spans="1:4">
      <c r="B6" s="972" t="s">
        <v>1132</v>
      </c>
      <c r="C6" s="972"/>
      <c r="D6" s="972"/>
    </row>
    <row r="7" spans="1:4">
      <c r="B7" s="999" t="s">
        <v>1279</v>
      </c>
      <c r="C7" s="999"/>
      <c r="D7" s="999"/>
    </row>
    <row r="8" spans="1:4">
      <c r="C8" s="50"/>
    </row>
    <row r="9" spans="1:4" ht="36" customHeight="1">
      <c r="A9" s="1003" t="s">
        <v>1276</v>
      </c>
      <c r="B9" s="1003"/>
      <c r="C9" s="1003"/>
    </row>
    <row r="10" spans="1:4">
      <c r="A10" s="1004"/>
      <c r="B10" s="1004"/>
      <c r="C10" s="1004"/>
    </row>
    <row r="11" spans="1:4">
      <c r="D11" s="29" t="s">
        <v>150</v>
      </c>
    </row>
    <row r="12" spans="1:4">
      <c r="A12" s="1006" t="s">
        <v>357</v>
      </c>
      <c r="B12" s="1006" t="s">
        <v>11</v>
      </c>
      <c r="C12" s="463" t="s">
        <v>927</v>
      </c>
      <c r="D12" s="463" t="s">
        <v>1177</v>
      </c>
    </row>
    <row r="13" spans="1:4" ht="15.75" customHeight="1">
      <c r="A13" s="1007"/>
      <c r="B13" s="1007"/>
      <c r="C13" s="35" t="s">
        <v>209</v>
      </c>
      <c r="D13" s="35" t="s">
        <v>209</v>
      </c>
    </row>
    <row r="14" spans="1:4">
      <c r="A14" s="1005">
        <v>1</v>
      </c>
      <c r="B14" s="1001" t="s">
        <v>14</v>
      </c>
      <c r="C14" s="1002"/>
      <c r="D14" s="47"/>
    </row>
    <row r="15" spans="1:4">
      <c r="A15" s="1005"/>
      <c r="B15" s="25" t="s">
        <v>12</v>
      </c>
      <c r="C15" s="542">
        <v>0</v>
      </c>
      <c r="D15" s="541">
        <v>0</v>
      </c>
    </row>
    <row r="16" spans="1:4" ht="17.25" customHeight="1">
      <c r="A16" s="1005"/>
      <c r="B16" s="25" t="s">
        <v>13</v>
      </c>
      <c r="C16" s="542">
        <v>0</v>
      </c>
      <c r="D16" s="541">
        <v>0</v>
      </c>
    </row>
    <row r="17" spans="1:4" ht="24.75" customHeight="1">
      <c r="A17" s="1000">
        <v>2</v>
      </c>
      <c r="B17" s="1001" t="s">
        <v>200</v>
      </c>
      <c r="C17" s="1008"/>
      <c r="D17" s="1002"/>
    </row>
    <row r="18" spans="1:4" ht="18.75" customHeight="1">
      <c r="A18" s="1000"/>
      <c r="B18" s="25" t="s">
        <v>12</v>
      </c>
      <c r="C18" s="541">
        <v>0</v>
      </c>
      <c r="D18" s="540">
        <v>0</v>
      </c>
    </row>
    <row r="19" spans="1:4" ht="14.25" customHeight="1">
      <c r="A19" s="1000"/>
      <c r="B19" s="25" t="s">
        <v>13</v>
      </c>
      <c r="C19" s="541">
        <v>0</v>
      </c>
      <c r="D19" s="540">
        <v>0</v>
      </c>
    </row>
    <row r="20" spans="1:4" ht="30" customHeight="1">
      <c r="A20" s="1000">
        <v>3</v>
      </c>
      <c r="B20" s="1001" t="s">
        <v>184</v>
      </c>
      <c r="C20" s="1002"/>
      <c r="D20" s="35"/>
    </row>
    <row r="21" spans="1:4">
      <c r="A21" s="1000"/>
      <c r="B21" s="25" t="s">
        <v>12</v>
      </c>
      <c r="C21" s="52">
        <v>0</v>
      </c>
      <c r="D21" s="52">
        <v>0</v>
      </c>
    </row>
    <row r="22" spans="1:4">
      <c r="A22" s="1000"/>
      <c r="B22" s="25" t="s">
        <v>13</v>
      </c>
      <c r="C22" s="52">
        <v>0</v>
      </c>
      <c r="D22" s="52">
        <v>0</v>
      </c>
    </row>
  </sheetData>
  <mergeCells count="17">
    <mergeCell ref="B1:D1"/>
    <mergeCell ref="B2:D2"/>
    <mergeCell ref="B3:D3"/>
    <mergeCell ref="B4:D4"/>
    <mergeCell ref="B5:D5"/>
    <mergeCell ref="A20:A22"/>
    <mergeCell ref="B20:C20"/>
    <mergeCell ref="A12:A13"/>
    <mergeCell ref="B12:B13"/>
    <mergeCell ref="B6:D6"/>
    <mergeCell ref="B7:D7"/>
    <mergeCell ref="A9:C9"/>
    <mergeCell ref="A10:C10"/>
    <mergeCell ref="A14:A16"/>
    <mergeCell ref="B14:C14"/>
    <mergeCell ref="A17:A19"/>
    <mergeCell ref="B17:D17"/>
  </mergeCell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1:N155"/>
  <sheetViews>
    <sheetView view="pageBreakPreview" topLeftCell="A142" zoomScale="90" zoomScaleSheetLayoutView="90" workbookViewId="0">
      <selection activeCell="C150" sqref="C150"/>
    </sheetView>
  </sheetViews>
  <sheetFormatPr defaultRowHeight="12.75"/>
  <cols>
    <col min="1" max="1" width="9.140625" style="4"/>
    <col min="2" max="2" width="59.85546875" style="4" customWidth="1"/>
    <col min="3" max="3" width="18.5703125" style="61" customWidth="1"/>
    <col min="4" max="4" width="37.140625" style="4" hidden="1" customWidth="1"/>
    <col min="5" max="5" width="18.5703125" style="4" hidden="1" customWidth="1"/>
    <col min="6" max="6" width="30.42578125" style="4" hidden="1" customWidth="1"/>
    <col min="7" max="7" width="13.5703125" style="4" customWidth="1"/>
    <col min="8" max="8" width="10.5703125" style="4" customWidth="1"/>
    <col min="9" max="9" width="11.28515625" style="4" customWidth="1"/>
    <col min="10" max="10" width="15.28515625" style="4" customWidth="1"/>
    <col min="11" max="11" width="9.140625" style="4"/>
    <col min="12" max="12" width="15.85546875" style="4" customWidth="1"/>
    <col min="13" max="16384" width="9.140625" style="4"/>
  </cols>
  <sheetData>
    <row r="1" spans="1:7">
      <c r="C1" s="44" t="s">
        <v>555</v>
      </c>
    </row>
    <row r="2" spans="1:7">
      <c r="C2" s="44" t="s">
        <v>199</v>
      </c>
    </row>
    <row r="3" spans="1:7">
      <c r="C3" s="44" t="s">
        <v>298</v>
      </c>
    </row>
    <row r="4" spans="1:7">
      <c r="A4" s="29"/>
      <c r="C4" s="44" t="s">
        <v>148</v>
      </c>
    </row>
    <row r="5" spans="1:7">
      <c r="A5" s="37"/>
      <c r="C5" s="44" t="s">
        <v>299</v>
      </c>
    </row>
    <row r="6" spans="1:7">
      <c r="A6" s="972" t="s">
        <v>738</v>
      </c>
      <c r="B6" s="972"/>
      <c r="C6" s="972"/>
      <c r="D6" s="972"/>
    </row>
    <row r="7" spans="1:7">
      <c r="A7" s="38"/>
      <c r="B7" s="999" t="s">
        <v>924</v>
      </c>
      <c r="C7" s="1011"/>
    </row>
    <row r="8" spans="1:7">
      <c r="A8" s="24"/>
      <c r="B8" s="24"/>
      <c r="C8" s="53"/>
    </row>
    <row r="9" spans="1:7">
      <c r="A9" s="28"/>
      <c r="B9" s="28"/>
      <c r="C9" s="54"/>
      <c r="E9" s="51"/>
      <c r="F9" s="51"/>
      <c r="G9" s="500"/>
    </row>
    <row r="10" spans="1:7" ht="17.25" customHeight="1">
      <c r="A10" s="1003" t="s">
        <v>295</v>
      </c>
      <c r="B10" s="1003"/>
      <c r="C10" s="1003"/>
      <c r="E10" s="51"/>
      <c r="F10" s="51"/>
      <c r="G10" s="500"/>
    </row>
    <row r="11" spans="1:7">
      <c r="A11" s="28"/>
      <c r="B11" s="28"/>
      <c r="C11" s="479" t="s">
        <v>185</v>
      </c>
      <c r="E11" s="51"/>
      <c r="F11" s="51"/>
      <c r="G11" s="500"/>
    </row>
    <row r="12" spans="1:7" ht="7.5" customHeight="1">
      <c r="A12" s="28"/>
      <c r="B12" s="28"/>
      <c r="C12" s="54"/>
      <c r="E12" s="51"/>
      <c r="F12" s="51"/>
      <c r="G12" s="500"/>
    </row>
    <row r="13" spans="1:7" ht="33" customHeight="1">
      <c r="A13" s="1012" t="s">
        <v>1224</v>
      </c>
      <c r="B13" s="1012"/>
      <c r="C13" s="1012"/>
      <c r="E13" s="51"/>
      <c r="F13" s="51"/>
      <c r="G13" s="500"/>
    </row>
    <row r="14" spans="1:7">
      <c r="A14" s="40"/>
      <c r="C14" s="44" t="s">
        <v>150</v>
      </c>
      <c r="E14" s="1003"/>
      <c r="F14" s="1003"/>
      <c r="G14" s="603"/>
    </row>
    <row r="15" spans="1:7" ht="21" customHeight="1">
      <c r="A15" s="602" t="s">
        <v>357</v>
      </c>
      <c r="B15" s="602" t="s">
        <v>204</v>
      </c>
      <c r="C15" s="46" t="s">
        <v>76</v>
      </c>
      <c r="E15" s="56"/>
      <c r="F15" s="57"/>
      <c r="G15" s="57"/>
    </row>
    <row r="16" spans="1:7" ht="21" customHeight="1">
      <c r="A16" s="723">
        <v>1</v>
      </c>
      <c r="B16" s="59" t="s">
        <v>270</v>
      </c>
      <c r="C16" s="224">
        <v>1.5</v>
      </c>
      <c r="E16" s="56"/>
      <c r="F16" s="57"/>
      <c r="G16" s="57"/>
    </row>
    <row r="17" spans="1:7" ht="21" customHeight="1">
      <c r="A17" s="723">
        <v>2</v>
      </c>
      <c r="B17" s="59" t="s">
        <v>271</v>
      </c>
      <c r="C17" s="224">
        <v>3.6</v>
      </c>
      <c r="E17" s="56"/>
      <c r="F17" s="57"/>
      <c r="G17" s="57"/>
    </row>
    <row r="18" spans="1:7" ht="21" customHeight="1">
      <c r="A18" s="723">
        <v>3</v>
      </c>
      <c r="B18" s="59" t="s">
        <v>272</v>
      </c>
      <c r="C18" s="224">
        <v>1.7</v>
      </c>
      <c r="E18" s="56"/>
      <c r="F18" s="57"/>
      <c r="G18" s="57"/>
    </row>
    <row r="19" spans="1:7" ht="21" customHeight="1">
      <c r="A19" s="723">
        <v>4</v>
      </c>
      <c r="B19" s="59" t="s">
        <v>286</v>
      </c>
      <c r="C19" s="224">
        <v>3.5</v>
      </c>
      <c r="E19" s="56"/>
      <c r="F19" s="57"/>
      <c r="G19" s="57"/>
    </row>
    <row r="20" spans="1:7" ht="21" customHeight="1">
      <c r="A20" s="723">
        <v>5</v>
      </c>
      <c r="B20" s="59" t="s">
        <v>273</v>
      </c>
      <c r="C20" s="224">
        <v>1.1000000000000001</v>
      </c>
      <c r="E20" s="56"/>
      <c r="F20" s="57"/>
      <c r="G20" s="57"/>
    </row>
    <row r="21" spans="1:7" ht="21" customHeight="1">
      <c r="A21" s="723">
        <v>6</v>
      </c>
      <c r="B21" s="59" t="s">
        <v>275</v>
      </c>
      <c r="C21" s="224">
        <v>1.3</v>
      </c>
      <c r="E21" s="56"/>
      <c r="F21" s="57"/>
      <c r="G21" s="57"/>
    </row>
    <row r="22" spans="1:7" ht="21" customHeight="1">
      <c r="A22" s="723">
        <v>7</v>
      </c>
      <c r="B22" s="59" t="s">
        <v>276</v>
      </c>
      <c r="C22" s="721">
        <v>1</v>
      </c>
      <c r="E22" s="56"/>
      <c r="F22" s="57"/>
      <c r="G22" s="57"/>
    </row>
    <row r="23" spans="1:7" ht="21" customHeight="1">
      <c r="A23" s="723">
        <v>8</v>
      </c>
      <c r="B23" s="59" t="s">
        <v>277</v>
      </c>
      <c r="C23" s="721">
        <v>1</v>
      </c>
      <c r="E23" s="56"/>
      <c r="F23" s="57"/>
      <c r="G23" s="57"/>
    </row>
    <row r="24" spans="1:7" ht="21" customHeight="1">
      <c r="A24" s="723">
        <v>9</v>
      </c>
      <c r="B24" s="59" t="s">
        <v>278</v>
      </c>
      <c r="C24" s="721">
        <v>0.9</v>
      </c>
      <c r="E24" s="56"/>
      <c r="F24" s="57"/>
      <c r="G24" s="57"/>
    </row>
    <row r="25" spans="1:7" ht="21" customHeight="1">
      <c r="A25" s="723">
        <v>10</v>
      </c>
      <c r="B25" s="59" t="s">
        <v>5</v>
      </c>
      <c r="C25" s="721">
        <v>2.7</v>
      </c>
      <c r="E25" s="56"/>
      <c r="F25" s="57"/>
      <c r="G25" s="57"/>
    </row>
    <row r="26" spans="1:7" ht="21" customHeight="1">
      <c r="A26" s="723">
        <v>11</v>
      </c>
      <c r="B26" s="59" t="s">
        <v>422</v>
      </c>
      <c r="C26" s="721">
        <v>3.8</v>
      </c>
      <c r="E26" s="56"/>
      <c r="F26" s="57"/>
      <c r="G26" s="57"/>
    </row>
    <row r="27" spans="1:7">
      <c r="A27" s="723">
        <v>12</v>
      </c>
      <c r="B27" s="59" t="s">
        <v>280</v>
      </c>
      <c r="C27" s="721">
        <v>4.7</v>
      </c>
    </row>
    <row r="28" spans="1:7">
      <c r="A28" s="723">
        <v>13</v>
      </c>
      <c r="B28" s="59" t="s">
        <v>281</v>
      </c>
      <c r="C28" s="721">
        <v>5</v>
      </c>
    </row>
    <row r="29" spans="1:7">
      <c r="A29" s="723">
        <v>14</v>
      </c>
      <c r="B29" s="59" t="s">
        <v>282</v>
      </c>
      <c r="C29" s="721">
        <v>1.7</v>
      </c>
    </row>
    <row r="30" spans="1:7">
      <c r="A30" s="723">
        <v>15</v>
      </c>
      <c r="B30" s="59" t="s">
        <v>283</v>
      </c>
      <c r="C30" s="224">
        <v>2</v>
      </c>
    </row>
    <row r="31" spans="1:7">
      <c r="A31" s="723">
        <v>16</v>
      </c>
      <c r="B31" s="59" t="s">
        <v>419</v>
      </c>
      <c r="C31" s="224">
        <v>7.3</v>
      </c>
    </row>
    <row r="32" spans="1:7">
      <c r="A32" s="723">
        <v>17</v>
      </c>
      <c r="B32" s="59" t="s">
        <v>4</v>
      </c>
      <c r="C32" s="224">
        <v>53.5</v>
      </c>
    </row>
    <row r="33" spans="1:8">
      <c r="A33" s="562"/>
      <c r="B33" s="602" t="s">
        <v>201</v>
      </c>
      <c r="C33" s="400">
        <f>SUM(C16:C32)</f>
        <v>96.3</v>
      </c>
    </row>
    <row r="34" spans="1:8">
      <c r="A34" s="26"/>
      <c r="B34" s="28"/>
      <c r="C34" s="62"/>
    </row>
    <row r="35" spans="1:8" ht="53.25" customHeight="1">
      <c r="A35" s="948" t="s">
        <v>1225</v>
      </c>
      <c r="B35" s="1009"/>
      <c r="C35" s="1009"/>
    </row>
    <row r="36" spans="1:8" ht="12" customHeight="1">
      <c r="C36" s="479" t="s">
        <v>296</v>
      </c>
      <c r="D36" s="155"/>
      <c r="E36" s="217"/>
      <c r="F36" s="217"/>
      <c r="G36" s="217"/>
    </row>
    <row r="37" spans="1:8" ht="27" customHeight="1">
      <c r="A37" s="1012" t="s">
        <v>1285</v>
      </c>
      <c r="B37" s="1012"/>
      <c r="C37" s="1012"/>
      <c r="D37" s="155"/>
      <c r="E37" s="217"/>
      <c r="F37" s="217"/>
      <c r="G37" s="217"/>
    </row>
    <row r="38" spans="1:8">
      <c r="A38" s="40"/>
      <c r="C38" s="44" t="s">
        <v>150</v>
      </c>
      <c r="D38" s="155"/>
      <c r="E38" s="217"/>
      <c r="F38" s="217"/>
      <c r="G38" s="217"/>
    </row>
    <row r="39" spans="1:8" ht="49.5" customHeight="1">
      <c r="A39" s="498" t="s">
        <v>357</v>
      </c>
      <c r="B39" s="498" t="s">
        <v>204</v>
      </c>
      <c r="C39" s="46" t="s">
        <v>76</v>
      </c>
      <c r="D39" s="46" t="s">
        <v>570</v>
      </c>
      <c r="E39" s="46" t="s">
        <v>570</v>
      </c>
      <c r="F39" s="528" t="s">
        <v>570</v>
      </c>
      <c r="G39" s="577"/>
      <c r="H39" s="577"/>
    </row>
    <row r="40" spans="1:8">
      <c r="A40" s="715">
        <v>1</v>
      </c>
      <c r="B40" s="328" t="s">
        <v>270</v>
      </c>
      <c r="C40" s="722">
        <v>1466.26</v>
      </c>
      <c r="D40" s="226"/>
      <c r="E40" s="226"/>
      <c r="F40" s="566"/>
      <c r="G40" s="585"/>
      <c r="H40" s="585"/>
    </row>
    <row r="41" spans="1:8">
      <c r="A41" s="715">
        <v>2</v>
      </c>
      <c r="B41" s="328" t="s">
        <v>271</v>
      </c>
      <c r="C41" s="722">
        <v>2739.51</v>
      </c>
      <c r="D41" s="226"/>
      <c r="E41" s="226"/>
      <c r="F41" s="566"/>
      <c r="G41" s="585"/>
      <c r="H41" s="585"/>
    </row>
    <row r="42" spans="1:8">
      <c r="A42" s="715">
        <v>3</v>
      </c>
      <c r="B42" s="328" t="s">
        <v>272</v>
      </c>
      <c r="C42" s="722">
        <v>1700.78</v>
      </c>
      <c r="D42" s="226"/>
      <c r="E42" s="226"/>
      <c r="F42" s="566"/>
      <c r="G42" s="585"/>
      <c r="H42" s="585"/>
    </row>
    <row r="43" spans="1:8">
      <c r="A43" s="715">
        <v>4</v>
      </c>
      <c r="B43" s="328" t="s">
        <v>273</v>
      </c>
      <c r="C43" s="722">
        <v>2058.27</v>
      </c>
      <c r="D43" s="226"/>
      <c r="E43" s="226"/>
      <c r="F43" s="566"/>
      <c r="G43" s="585"/>
      <c r="H43" s="585"/>
    </row>
    <row r="44" spans="1:8">
      <c r="A44" s="715">
        <v>5</v>
      </c>
      <c r="B44" s="328" t="s">
        <v>274</v>
      </c>
      <c r="C44" s="722">
        <v>2415.31</v>
      </c>
      <c r="D44" s="226"/>
      <c r="E44" s="226"/>
      <c r="F44" s="566"/>
      <c r="G44" s="585"/>
      <c r="H44" s="585"/>
    </row>
    <row r="45" spans="1:8">
      <c r="A45" s="715">
        <v>6</v>
      </c>
      <c r="B45" s="328" t="s">
        <v>275</v>
      </c>
      <c r="C45" s="722">
        <v>1682.03</v>
      </c>
      <c r="D45" s="226"/>
      <c r="E45" s="226"/>
      <c r="F45" s="566"/>
      <c r="G45" s="585"/>
      <c r="H45" s="585"/>
    </row>
    <row r="46" spans="1:8">
      <c r="A46" s="715">
        <v>7</v>
      </c>
      <c r="B46" s="328" t="s">
        <v>276</v>
      </c>
      <c r="C46" s="722">
        <v>1152.3</v>
      </c>
      <c r="D46" s="226"/>
      <c r="E46" s="226"/>
      <c r="F46" s="566"/>
      <c r="G46" s="585"/>
      <c r="H46" s="585"/>
    </row>
    <row r="47" spans="1:8">
      <c r="A47" s="715">
        <v>8</v>
      </c>
      <c r="B47" s="328" t="s">
        <v>277</v>
      </c>
      <c r="C47" s="722">
        <v>1398.86</v>
      </c>
      <c r="D47" s="226"/>
      <c r="E47" s="226"/>
      <c r="F47" s="566"/>
      <c r="G47" s="585"/>
      <c r="H47" s="585"/>
    </row>
    <row r="48" spans="1:8">
      <c r="A48" s="715">
        <v>9</v>
      </c>
      <c r="B48" s="328" t="s">
        <v>278</v>
      </c>
      <c r="C48" s="722">
        <v>1450.06</v>
      </c>
      <c r="D48" s="226"/>
      <c r="E48" s="226"/>
      <c r="F48" s="566"/>
      <c r="G48" s="585"/>
      <c r="H48" s="585"/>
    </row>
    <row r="49" spans="1:9">
      <c r="A49" s="715">
        <v>10</v>
      </c>
      <c r="B49" s="328" t="s">
        <v>279</v>
      </c>
      <c r="C49" s="722">
        <v>2249.19</v>
      </c>
      <c r="D49" s="226"/>
      <c r="E49" s="226"/>
      <c r="F49" s="566"/>
      <c r="G49" s="585"/>
      <c r="H49" s="585"/>
    </row>
    <row r="50" spans="1:9">
      <c r="A50" s="715">
        <v>11</v>
      </c>
      <c r="B50" s="328" t="s">
        <v>284</v>
      </c>
      <c r="C50" s="722">
        <v>2380.1799999999998</v>
      </c>
      <c r="D50" s="226"/>
      <c r="E50" s="226"/>
      <c r="F50" s="566"/>
      <c r="G50" s="585"/>
      <c r="H50" s="585"/>
    </row>
    <row r="51" spans="1:9">
      <c r="A51" s="715">
        <v>12</v>
      </c>
      <c r="B51" s="328" t="s">
        <v>280</v>
      </c>
      <c r="C51" s="722">
        <v>2636.42</v>
      </c>
      <c r="D51" s="226"/>
      <c r="E51" s="226"/>
      <c r="F51" s="566"/>
      <c r="G51" s="585"/>
      <c r="H51" s="585"/>
    </row>
    <row r="52" spans="1:9">
      <c r="A52" s="715">
        <v>13</v>
      </c>
      <c r="B52" s="328" t="s">
        <v>281</v>
      </c>
      <c r="C52" s="722">
        <v>3027.29</v>
      </c>
      <c r="D52" s="226"/>
      <c r="E52" s="226"/>
      <c r="F52" s="566"/>
      <c r="G52" s="585"/>
      <c r="H52" s="585"/>
    </row>
    <row r="53" spans="1:9">
      <c r="A53" s="715">
        <v>14</v>
      </c>
      <c r="B53" s="328" t="s">
        <v>282</v>
      </c>
      <c r="C53" s="722">
        <v>1719.29</v>
      </c>
      <c r="D53" s="226"/>
      <c r="E53" s="226"/>
      <c r="F53" s="566"/>
      <c r="G53" s="585"/>
      <c r="H53" s="585"/>
    </row>
    <row r="54" spans="1:9">
      <c r="A54" s="715">
        <v>15</v>
      </c>
      <c r="B54" s="328" t="s">
        <v>283</v>
      </c>
      <c r="C54" s="722">
        <v>1324.25</v>
      </c>
      <c r="D54" s="226"/>
      <c r="E54" s="226"/>
      <c r="F54" s="566"/>
      <c r="G54" s="585"/>
      <c r="H54" s="585"/>
    </row>
    <row r="55" spans="1:9">
      <c r="A55" s="497"/>
      <c r="B55" s="210" t="s">
        <v>201</v>
      </c>
      <c r="C55" s="399">
        <f>SUM(C40:C54)</f>
        <v>29400</v>
      </c>
      <c r="D55" s="226"/>
      <c r="E55" s="226"/>
      <c r="F55" s="566"/>
      <c r="G55" s="418"/>
      <c r="H55" s="418"/>
      <c r="I55" s="236"/>
    </row>
    <row r="56" spans="1:9">
      <c r="C56" s="55"/>
      <c r="E56" s="26"/>
      <c r="F56" s="26"/>
      <c r="G56" s="26"/>
    </row>
    <row r="57" spans="1:9">
      <c r="C57" s="746" t="s">
        <v>1312</v>
      </c>
    </row>
    <row r="58" spans="1:9" ht="35.25" customHeight="1">
      <c r="A58" s="997" t="s">
        <v>1020</v>
      </c>
      <c r="B58" s="997"/>
      <c r="C58" s="997"/>
    </row>
    <row r="59" spans="1:9">
      <c r="C59" s="61" t="s">
        <v>150</v>
      </c>
    </row>
    <row r="60" spans="1:9">
      <c r="A60" s="739" t="s">
        <v>357</v>
      </c>
      <c r="B60" s="739" t="s">
        <v>204</v>
      </c>
      <c r="C60" s="739" t="s">
        <v>76</v>
      </c>
    </row>
    <row r="61" spans="1:9" ht="15">
      <c r="A61" s="719">
        <v>1</v>
      </c>
      <c r="B61" s="719" t="s">
        <v>270</v>
      </c>
      <c r="C61" s="725">
        <v>6.6483999999999996</v>
      </c>
    </row>
    <row r="62" spans="1:9">
      <c r="A62" s="562">
        <v>2</v>
      </c>
      <c r="B62" s="562" t="s">
        <v>271</v>
      </c>
      <c r="C62" s="725">
        <v>6.6483999999999996</v>
      </c>
    </row>
    <row r="63" spans="1:9">
      <c r="A63" s="562">
        <v>3</v>
      </c>
      <c r="B63" s="562" t="s">
        <v>272</v>
      </c>
      <c r="C63" s="725">
        <v>6.6483999999999996</v>
      </c>
    </row>
    <row r="64" spans="1:9">
      <c r="A64" s="562">
        <v>4</v>
      </c>
      <c r="B64" s="562" t="s">
        <v>273</v>
      </c>
      <c r="C64" s="725">
        <v>6.6483999999999996</v>
      </c>
    </row>
    <row r="65" spans="1:3">
      <c r="A65" s="562">
        <v>5</v>
      </c>
      <c r="B65" s="562" t="s">
        <v>274</v>
      </c>
      <c r="C65" s="725">
        <v>6.6483999999999996</v>
      </c>
    </row>
    <row r="66" spans="1:3">
      <c r="A66" s="562">
        <v>6</v>
      </c>
      <c r="B66" s="562" t="s">
        <v>275</v>
      </c>
      <c r="C66" s="725">
        <v>6.6483999999999996</v>
      </c>
    </row>
    <row r="67" spans="1:3">
      <c r="A67" s="562">
        <v>7</v>
      </c>
      <c r="B67" s="562" t="s">
        <v>276</v>
      </c>
      <c r="C67" s="725">
        <v>6.6483999999999996</v>
      </c>
    </row>
    <row r="68" spans="1:3">
      <c r="A68" s="562">
        <v>8</v>
      </c>
      <c r="B68" s="562" t="s">
        <v>277</v>
      </c>
      <c r="C68" s="725">
        <v>6.6483999999999996</v>
      </c>
    </row>
    <row r="69" spans="1:3">
      <c r="A69" s="562">
        <v>9</v>
      </c>
      <c r="B69" s="562" t="s">
        <v>278</v>
      </c>
      <c r="C69" s="725">
        <v>6.6483999999999996</v>
      </c>
    </row>
    <row r="70" spans="1:3">
      <c r="A70" s="562">
        <v>10</v>
      </c>
      <c r="B70" s="562" t="s">
        <v>279</v>
      </c>
      <c r="C70" s="725">
        <v>6.6483999999999996</v>
      </c>
    </row>
    <row r="71" spans="1:3">
      <c r="A71" s="562">
        <v>11</v>
      </c>
      <c r="B71" s="562" t="s">
        <v>284</v>
      </c>
      <c r="C71" s="725">
        <v>6.6483999999999996</v>
      </c>
    </row>
    <row r="72" spans="1:3">
      <c r="A72" s="562">
        <v>12</v>
      </c>
      <c r="B72" s="562" t="s">
        <v>280</v>
      </c>
      <c r="C72" s="725">
        <v>6.6483999999999996</v>
      </c>
    </row>
    <row r="73" spans="1:3">
      <c r="A73" s="562">
        <v>13</v>
      </c>
      <c r="B73" s="562" t="s">
        <v>281</v>
      </c>
      <c r="C73" s="725">
        <v>6.6483999999999996</v>
      </c>
    </row>
    <row r="74" spans="1:3">
      <c r="A74" s="562">
        <v>14</v>
      </c>
      <c r="B74" s="562" t="s">
        <v>282</v>
      </c>
      <c r="C74" s="725">
        <v>6.6483999999999996</v>
      </c>
    </row>
    <row r="75" spans="1:3">
      <c r="A75" s="562">
        <v>15</v>
      </c>
      <c r="B75" s="562" t="s">
        <v>283</v>
      </c>
      <c r="C75" s="725">
        <v>6.6483999999999996</v>
      </c>
    </row>
    <row r="76" spans="1:3">
      <c r="A76" s="562">
        <v>16</v>
      </c>
      <c r="B76" s="562" t="s">
        <v>419</v>
      </c>
      <c r="C76" s="725">
        <v>6.6483999999999996</v>
      </c>
    </row>
    <row r="77" spans="1:3">
      <c r="A77" s="562">
        <v>17</v>
      </c>
      <c r="B77" s="562" t="s">
        <v>4</v>
      </c>
      <c r="C77" s="725">
        <v>6.6483999999999996</v>
      </c>
    </row>
    <row r="78" spans="1:3">
      <c r="A78" s="720"/>
      <c r="B78" s="720" t="s">
        <v>201</v>
      </c>
      <c r="C78" s="724">
        <f>SUM(C61:C77)</f>
        <v>113.02279999999998</v>
      </c>
    </row>
    <row r="80" spans="1:3">
      <c r="C80" s="746" t="s">
        <v>1313</v>
      </c>
    </row>
    <row r="81" spans="1:3" ht="34.5" customHeight="1">
      <c r="A81" s="997" t="s">
        <v>1029</v>
      </c>
      <c r="B81" s="997"/>
      <c r="C81" s="997"/>
    </row>
    <row r="82" spans="1:3">
      <c r="C82" s="61" t="s">
        <v>150</v>
      </c>
    </row>
    <row r="83" spans="1:3">
      <c r="A83" s="743" t="s">
        <v>357</v>
      </c>
      <c r="B83" s="743" t="s">
        <v>204</v>
      </c>
      <c r="C83" s="743" t="s">
        <v>76</v>
      </c>
    </row>
    <row r="84" spans="1:3" ht="15">
      <c r="A84" s="719">
        <v>1</v>
      </c>
      <c r="B84" s="719" t="s">
        <v>270</v>
      </c>
      <c r="C84" s="725">
        <v>221.762</v>
      </c>
    </row>
    <row r="85" spans="1:3">
      <c r="A85" s="562">
        <v>2</v>
      </c>
      <c r="B85" s="562" t="s">
        <v>271</v>
      </c>
      <c r="C85" s="725">
        <v>430.85199999999998</v>
      </c>
    </row>
    <row r="86" spans="1:3">
      <c r="A86" s="562">
        <v>3</v>
      </c>
      <c r="B86" s="562" t="s">
        <v>272</v>
      </c>
      <c r="C86" s="725">
        <v>291.459</v>
      </c>
    </row>
    <row r="87" spans="1:3">
      <c r="A87" s="562">
        <v>4</v>
      </c>
      <c r="B87" s="562" t="s">
        <v>273</v>
      </c>
      <c r="C87" s="725">
        <v>236.018</v>
      </c>
    </row>
    <row r="88" spans="1:3">
      <c r="A88" s="562">
        <v>5</v>
      </c>
      <c r="B88" s="562" t="s">
        <v>274</v>
      </c>
      <c r="C88" s="725">
        <v>435.60399999999998</v>
      </c>
    </row>
    <row r="89" spans="1:3">
      <c r="A89" s="562">
        <v>6</v>
      </c>
      <c r="B89" s="562" t="s">
        <v>275</v>
      </c>
      <c r="C89" s="725">
        <v>205.28899999999999</v>
      </c>
    </row>
    <row r="90" spans="1:3">
      <c r="A90" s="562">
        <v>7</v>
      </c>
      <c r="B90" s="562" t="s">
        <v>276</v>
      </c>
      <c r="C90" s="725">
        <v>329.47500000000002</v>
      </c>
    </row>
    <row r="91" spans="1:3">
      <c r="A91" s="562">
        <v>8</v>
      </c>
      <c r="B91" s="562" t="s">
        <v>277</v>
      </c>
      <c r="C91" s="725">
        <v>253.44300000000001</v>
      </c>
    </row>
    <row r="92" spans="1:3">
      <c r="A92" s="562">
        <v>9</v>
      </c>
      <c r="B92" s="562" t="s">
        <v>278</v>
      </c>
      <c r="C92" s="725">
        <v>194.83</v>
      </c>
    </row>
    <row r="93" spans="1:3" hidden="1">
      <c r="A93" s="562">
        <v>10</v>
      </c>
      <c r="B93" s="562" t="s">
        <v>279</v>
      </c>
      <c r="C93" s="725"/>
    </row>
    <row r="94" spans="1:3">
      <c r="A94" s="562">
        <v>10</v>
      </c>
      <c r="B94" s="562" t="s">
        <v>284</v>
      </c>
      <c r="C94" s="725">
        <v>396.00400000000002</v>
      </c>
    </row>
    <row r="95" spans="1:3">
      <c r="A95" s="562">
        <v>11</v>
      </c>
      <c r="B95" s="562" t="s">
        <v>280</v>
      </c>
      <c r="C95" s="725">
        <v>133.05799999999999</v>
      </c>
    </row>
    <row r="96" spans="1:3">
      <c r="A96" s="562">
        <v>12</v>
      </c>
      <c r="B96" s="562" t="s">
        <v>281</v>
      </c>
      <c r="C96" s="725">
        <v>200.22</v>
      </c>
    </row>
    <row r="97" spans="1:14">
      <c r="A97" s="562">
        <v>13</v>
      </c>
      <c r="B97" s="562" t="s">
        <v>283</v>
      </c>
      <c r="C97" s="725">
        <v>305.39499999999998</v>
      </c>
    </row>
    <row r="98" spans="1:14">
      <c r="A98" s="720"/>
      <c r="B98" s="720" t="s">
        <v>201</v>
      </c>
      <c r="C98" s="724">
        <f>SUM(C84:C97)</f>
        <v>3633.4090000000001</v>
      </c>
    </row>
    <row r="100" spans="1:14">
      <c r="C100" s="746" t="s">
        <v>1314</v>
      </c>
    </row>
    <row r="101" spans="1:14">
      <c r="A101" s="1010" t="s">
        <v>1030</v>
      </c>
      <c r="B101" s="1010"/>
      <c r="C101" s="1010"/>
    </row>
    <row r="102" spans="1:14" s="26" customFormat="1">
      <c r="A102" s="1010"/>
      <c r="B102" s="1010"/>
      <c r="C102" s="1010"/>
    </row>
    <row r="103" spans="1:14" s="26" customFormat="1">
      <c r="A103" s="747"/>
      <c r="B103" s="747"/>
      <c r="C103" s="752" t="s">
        <v>150</v>
      </c>
    </row>
    <row r="104" spans="1:14" ht="14.25">
      <c r="A104" s="749" t="s">
        <v>357</v>
      </c>
      <c r="B104" s="749" t="s">
        <v>1031</v>
      </c>
      <c r="C104" s="753" t="s">
        <v>1035</v>
      </c>
    </row>
    <row r="105" spans="1:14" ht="15">
      <c r="A105" s="908">
        <v>1</v>
      </c>
      <c r="B105" s="909" t="s">
        <v>274</v>
      </c>
      <c r="C105" s="910">
        <v>299.70030000000003</v>
      </c>
    </row>
    <row r="106" spans="1:14" ht="15">
      <c r="A106" s="719">
        <v>2</v>
      </c>
      <c r="B106" s="137" t="s">
        <v>284</v>
      </c>
      <c r="C106" s="911">
        <v>299.70030000000003</v>
      </c>
    </row>
    <row r="107" spans="1:14" ht="15">
      <c r="A107" s="719">
        <v>3</v>
      </c>
      <c r="B107" s="137" t="s">
        <v>280</v>
      </c>
      <c r="C107" s="911">
        <v>299.70030000000003</v>
      </c>
    </row>
    <row r="108" spans="1:14" ht="15">
      <c r="A108" s="719">
        <v>4</v>
      </c>
      <c r="B108" s="137" t="s">
        <v>1033</v>
      </c>
      <c r="C108" s="911">
        <v>549.77647999999999</v>
      </c>
    </row>
    <row r="109" spans="1:14" ht="15">
      <c r="A109" s="719">
        <v>5</v>
      </c>
      <c r="B109" s="137" t="s">
        <v>419</v>
      </c>
      <c r="C109" s="911">
        <v>1007.9235200000001</v>
      </c>
    </row>
    <row r="110" spans="1:14" ht="15">
      <c r="A110" s="719">
        <v>6</v>
      </c>
      <c r="B110" s="137" t="s">
        <v>4</v>
      </c>
      <c r="C110" s="911">
        <v>7605.2411000000002</v>
      </c>
    </row>
    <row r="111" spans="1:14">
      <c r="A111" s="720"/>
      <c r="B111" s="720" t="s">
        <v>633</v>
      </c>
      <c r="C111" s="400">
        <f>SUM(C105:C110)</f>
        <v>10062.042000000001</v>
      </c>
      <c r="N111" s="748"/>
    </row>
    <row r="112" spans="1:14">
      <c r="A112" s="1010"/>
      <c r="B112" s="1010"/>
      <c r="C112" s="1010"/>
      <c r="N112" s="748"/>
    </row>
    <row r="113" spans="1:3" ht="12.75" customHeight="1">
      <c r="C113" s="746" t="s">
        <v>1017</v>
      </c>
    </row>
    <row r="114" spans="1:3">
      <c r="A114" s="1010" t="s">
        <v>1034</v>
      </c>
      <c r="B114" s="1010"/>
      <c r="C114" s="1010"/>
    </row>
    <row r="115" spans="1:3">
      <c r="A115" s="1010"/>
      <c r="B115" s="1010"/>
      <c r="C115" s="1010"/>
    </row>
    <row r="116" spans="1:3">
      <c r="A116" s="751"/>
      <c r="B116" s="751"/>
      <c r="C116" s="752" t="s">
        <v>150</v>
      </c>
    </row>
    <row r="117" spans="1:3" ht="14.25">
      <c r="A117" s="749" t="s">
        <v>357</v>
      </c>
      <c r="B117" s="749" t="s">
        <v>1031</v>
      </c>
      <c r="C117" s="750" t="s">
        <v>1032</v>
      </c>
    </row>
    <row r="118" spans="1:3" ht="15">
      <c r="A118" s="719">
        <v>1</v>
      </c>
      <c r="B118" s="137" t="s">
        <v>274</v>
      </c>
      <c r="C118" s="911">
        <v>0.29970000000000002</v>
      </c>
    </row>
    <row r="119" spans="1:3" ht="15">
      <c r="A119" s="719">
        <v>2</v>
      </c>
      <c r="B119" s="137" t="s">
        <v>284</v>
      </c>
      <c r="C119" s="911">
        <v>0.29970000000000002</v>
      </c>
    </row>
    <row r="120" spans="1:3" ht="15">
      <c r="A120" s="719">
        <v>3</v>
      </c>
      <c r="B120" s="137" t="s">
        <v>280</v>
      </c>
      <c r="C120" s="911">
        <v>0.29970000000000002</v>
      </c>
    </row>
    <row r="121" spans="1:3" ht="15">
      <c r="A121" s="719">
        <v>4</v>
      </c>
      <c r="B121" s="137" t="s">
        <v>1033</v>
      </c>
      <c r="C121" s="911">
        <v>0.54978000000000005</v>
      </c>
    </row>
    <row r="122" spans="1:3" ht="15">
      <c r="A122" s="719">
        <v>5</v>
      </c>
      <c r="B122" s="137" t="s">
        <v>419</v>
      </c>
      <c r="C122" s="911">
        <v>1.0079199999999999</v>
      </c>
    </row>
    <row r="123" spans="1:3" ht="15">
      <c r="A123" s="719">
        <v>6</v>
      </c>
      <c r="B123" s="137" t="s">
        <v>4</v>
      </c>
      <c r="C123" s="911">
        <v>7.6052499999999998</v>
      </c>
    </row>
    <row r="124" spans="1:3">
      <c r="A124" s="720"/>
      <c r="B124" s="720" t="s">
        <v>633</v>
      </c>
      <c r="C124" s="400">
        <f>SUM(C118:C123)</f>
        <v>10.062049999999999</v>
      </c>
    </row>
    <row r="126" spans="1:3">
      <c r="C126" s="746" t="s">
        <v>1019</v>
      </c>
    </row>
    <row r="127" spans="1:3" ht="24.75" customHeight="1">
      <c r="A127" s="997" t="s">
        <v>1018</v>
      </c>
      <c r="B127" s="997"/>
      <c r="C127" s="997"/>
    </row>
    <row r="128" spans="1:3">
      <c r="C128" s="61" t="s">
        <v>150</v>
      </c>
    </row>
    <row r="129" spans="1:3">
      <c r="A129" s="758" t="s">
        <v>357</v>
      </c>
      <c r="B129" s="758" t="s">
        <v>204</v>
      </c>
      <c r="C129" s="758" t="s">
        <v>76</v>
      </c>
    </row>
    <row r="130" spans="1:3" ht="15">
      <c r="A130" s="719">
        <v>1</v>
      </c>
      <c r="B130" s="719" t="s">
        <v>270</v>
      </c>
      <c r="C130" s="725">
        <v>43.35</v>
      </c>
    </row>
    <row r="131" spans="1:3">
      <c r="A131" s="562">
        <v>2</v>
      </c>
      <c r="B131" s="562" t="s">
        <v>272</v>
      </c>
      <c r="C131" s="725">
        <v>43.35</v>
      </c>
    </row>
    <row r="132" spans="1:3">
      <c r="A132" s="562">
        <v>3</v>
      </c>
      <c r="B132" s="562" t="s">
        <v>273</v>
      </c>
      <c r="C132" s="725">
        <v>43.35</v>
      </c>
    </row>
    <row r="133" spans="1:3">
      <c r="A133" s="562">
        <v>4</v>
      </c>
      <c r="B133" s="562" t="s">
        <v>274</v>
      </c>
      <c r="C133" s="725">
        <v>43.35</v>
      </c>
    </row>
    <row r="134" spans="1:3">
      <c r="A134" s="562">
        <v>5</v>
      </c>
      <c r="B134" s="562" t="s">
        <v>275</v>
      </c>
      <c r="C134" s="725">
        <v>43.35</v>
      </c>
    </row>
    <row r="135" spans="1:3">
      <c r="A135" s="562">
        <v>6</v>
      </c>
      <c r="B135" s="562" t="s">
        <v>276</v>
      </c>
      <c r="C135" s="725">
        <v>43.35</v>
      </c>
    </row>
    <row r="136" spans="1:3">
      <c r="A136" s="562">
        <v>7</v>
      </c>
      <c r="B136" s="562" t="s">
        <v>277</v>
      </c>
      <c r="C136" s="725">
        <v>43.35</v>
      </c>
    </row>
    <row r="137" spans="1:3">
      <c r="A137" s="562">
        <v>8</v>
      </c>
      <c r="B137" s="562" t="s">
        <v>279</v>
      </c>
      <c r="C137" s="725">
        <v>43.35</v>
      </c>
    </row>
    <row r="138" spans="1:3">
      <c r="A138" s="562">
        <v>9</v>
      </c>
      <c r="B138" s="562" t="s">
        <v>284</v>
      </c>
      <c r="C138" s="725">
        <v>43.35</v>
      </c>
    </row>
    <row r="139" spans="1:3">
      <c r="A139" s="562">
        <v>10</v>
      </c>
      <c r="B139" s="562" t="s">
        <v>282</v>
      </c>
      <c r="C139" s="725">
        <v>43.35</v>
      </c>
    </row>
    <row r="140" spans="1:3">
      <c r="A140" s="562">
        <v>11</v>
      </c>
      <c r="B140" s="562" t="s">
        <v>283</v>
      </c>
      <c r="C140" s="725">
        <v>43.35</v>
      </c>
    </row>
    <row r="141" spans="1:3">
      <c r="A141" s="562"/>
      <c r="B141" s="562" t="s">
        <v>602</v>
      </c>
      <c r="C141" s="725">
        <f>SUM(C130:C140)</f>
        <v>476.85000000000014</v>
      </c>
    </row>
    <row r="142" spans="1:3">
      <c r="A142" s="26"/>
      <c r="B142" s="26"/>
      <c r="C142" s="891"/>
    </row>
    <row r="143" spans="1:3">
      <c r="C143" s="746" t="s">
        <v>1320</v>
      </c>
    </row>
    <row r="144" spans="1:3" ht="40.5" customHeight="1">
      <c r="A144" s="997" t="s">
        <v>1018</v>
      </c>
      <c r="B144" s="997"/>
      <c r="C144" s="997"/>
    </row>
    <row r="145" spans="1:3">
      <c r="C145" s="61" t="s">
        <v>150</v>
      </c>
    </row>
    <row r="146" spans="1:3">
      <c r="A146" s="889" t="s">
        <v>357</v>
      </c>
      <c r="B146" s="889" t="s">
        <v>204</v>
      </c>
      <c r="C146" s="889" t="s">
        <v>76</v>
      </c>
    </row>
    <row r="147" spans="1:3" ht="15">
      <c r="A147" s="719">
        <v>1</v>
      </c>
      <c r="B147" s="562" t="s">
        <v>270</v>
      </c>
      <c r="C147" s="725">
        <v>167.09481</v>
      </c>
    </row>
    <row r="148" spans="1:3">
      <c r="A148" s="562"/>
      <c r="B148" s="720" t="s">
        <v>602</v>
      </c>
      <c r="C148" s="724">
        <f>SUM(C147:C147)</f>
        <v>167.09481</v>
      </c>
    </row>
    <row r="150" spans="1:3">
      <c r="C150" s="746" t="s">
        <v>1322</v>
      </c>
    </row>
    <row r="151" spans="1:3" ht="39" customHeight="1">
      <c r="A151" s="997" t="s">
        <v>1018</v>
      </c>
      <c r="B151" s="997"/>
      <c r="C151" s="997"/>
    </row>
    <row r="152" spans="1:3">
      <c r="C152" s="61" t="s">
        <v>150</v>
      </c>
    </row>
    <row r="153" spans="1:3">
      <c r="A153" s="889" t="s">
        <v>357</v>
      </c>
      <c r="B153" s="889" t="s">
        <v>204</v>
      </c>
      <c r="C153" s="889" t="s">
        <v>76</v>
      </c>
    </row>
    <row r="154" spans="1:3" ht="15">
      <c r="A154" s="719">
        <v>1</v>
      </c>
      <c r="B154" s="562" t="s">
        <v>1321</v>
      </c>
      <c r="C154" s="725">
        <v>684.48544000000004</v>
      </c>
    </row>
    <row r="155" spans="1:3">
      <c r="A155" s="562"/>
      <c r="B155" s="720" t="s">
        <v>602</v>
      </c>
      <c r="C155" s="724">
        <f>SUM(C154:C154)</f>
        <v>684.48544000000004</v>
      </c>
    </row>
  </sheetData>
  <mergeCells count="15">
    <mergeCell ref="A6:D6"/>
    <mergeCell ref="B7:C7"/>
    <mergeCell ref="A37:C37"/>
    <mergeCell ref="A13:C13"/>
    <mergeCell ref="A10:C10"/>
    <mergeCell ref="A144:C144"/>
    <mergeCell ref="A151:C151"/>
    <mergeCell ref="A127:C127"/>
    <mergeCell ref="E14:F14"/>
    <mergeCell ref="A35:C35"/>
    <mergeCell ref="A58:C58"/>
    <mergeCell ref="A81:C81"/>
    <mergeCell ref="A101:C102"/>
    <mergeCell ref="A112:C112"/>
    <mergeCell ref="A114:C115"/>
  </mergeCells>
  <phoneticPr fontId="16" type="noConversion"/>
  <pageMargins left="0.70866141732283472" right="0.70866141732283472" top="0.74803149606299213" bottom="0.74803149606299213" header="0.31496062992125984" footer="0.31496062992125984"/>
  <pageSetup paperSize="9" scale="9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1:F83"/>
  <sheetViews>
    <sheetView view="pageBreakPreview" zoomScaleSheetLayoutView="100" workbookViewId="0">
      <selection activeCell="C19" sqref="C19:E35"/>
    </sheetView>
  </sheetViews>
  <sheetFormatPr defaultRowHeight="12.75"/>
  <cols>
    <col min="1" max="1" width="9.140625" style="4"/>
    <col min="2" max="2" width="59.85546875" style="4" customWidth="1"/>
    <col min="3" max="3" width="18.5703125" style="61" customWidth="1"/>
    <col min="4" max="4" width="37.140625" style="4" hidden="1" customWidth="1"/>
    <col min="5" max="5" width="18.5703125" style="4" customWidth="1"/>
    <col min="6" max="6" width="30.42578125" style="4" customWidth="1"/>
    <col min="7" max="16384" width="9.140625" style="4"/>
  </cols>
  <sheetData>
    <row r="1" spans="1:6">
      <c r="E1" s="44" t="s">
        <v>556</v>
      </c>
    </row>
    <row r="2" spans="1:6">
      <c r="E2" s="44" t="s">
        <v>199</v>
      </c>
    </row>
    <row r="3" spans="1:6">
      <c r="E3" s="44" t="s">
        <v>298</v>
      </c>
    </row>
    <row r="4" spans="1:6">
      <c r="A4" s="29"/>
      <c r="E4" s="44" t="s">
        <v>148</v>
      </c>
    </row>
    <row r="5" spans="1:6">
      <c r="A5" s="37"/>
      <c r="E5" s="44" t="s">
        <v>299</v>
      </c>
    </row>
    <row r="6" spans="1:6">
      <c r="A6" s="38"/>
      <c r="B6" s="972" t="s">
        <v>1132</v>
      </c>
      <c r="C6" s="972"/>
      <c r="D6" s="972"/>
      <c r="E6" s="972"/>
    </row>
    <row r="7" spans="1:6">
      <c r="A7" s="38"/>
      <c r="B7" s="972" t="s">
        <v>1280</v>
      </c>
      <c r="C7" s="972"/>
      <c r="D7" s="972"/>
      <c r="E7" s="972"/>
    </row>
    <row r="8" spans="1:6">
      <c r="A8" s="24"/>
      <c r="B8" s="24"/>
      <c r="C8" s="53"/>
    </row>
    <row r="9" spans="1:6" ht="39" customHeight="1">
      <c r="A9" s="948" t="s">
        <v>1302</v>
      </c>
      <c r="B9" s="948"/>
      <c r="C9" s="948"/>
      <c r="E9" s="1003"/>
      <c r="F9" s="1003"/>
    </row>
    <row r="10" spans="1:6">
      <c r="A10" s="28"/>
      <c r="B10" s="28"/>
      <c r="C10" s="54"/>
      <c r="E10" s="51"/>
      <c r="F10" s="51"/>
    </row>
    <row r="11" spans="1:6" ht="17.25" customHeight="1">
      <c r="A11" s="1003" t="s">
        <v>295</v>
      </c>
      <c r="B11" s="1003"/>
      <c r="C11" s="1003"/>
      <c r="E11" s="51"/>
      <c r="F11" s="51"/>
    </row>
    <row r="12" spans="1:6" ht="8.25" customHeight="1">
      <c r="A12" s="28"/>
      <c r="B12" s="28"/>
      <c r="C12" s="54"/>
      <c r="E12" s="51"/>
      <c r="F12" s="51"/>
    </row>
    <row r="13" spans="1:6">
      <c r="A13" s="28"/>
      <c r="B13" s="28"/>
      <c r="E13" s="479" t="s">
        <v>185</v>
      </c>
      <c r="F13" s="51"/>
    </row>
    <row r="14" spans="1:6" ht="7.5" customHeight="1">
      <c r="A14" s="28"/>
      <c r="B14" s="28"/>
      <c r="C14" s="54"/>
      <c r="E14" s="51"/>
      <c r="F14" s="51"/>
    </row>
    <row r="15" spans="1:6" ht="33" customHeight="1">
      <c r="A15" s="1012" t="s">
        <v>1304</v>
      </c>
      <c r="B15" s="1012"/>
      <c r="C15" s="1012"/>
      <c r="D15" s="1012"/>
      <c r="E15" s="1012"/>
      <c r="F15" s="51"/>
    </row>
    <row r="16" spans="1:6">
      <c r="A16" s="40"/>
      <c r="C16" s="4"/>
      <c r="E16" s="44" t="s">
        <v>150</v>
      </c>
      <c r="F16" s="374"/>
    </row>
    <row r="17" spans="1:6">
      <c r="A17" s="995" t="s">
        <v>357</v>
      </c>
      <c r="B17" s="995" t="s">
        <v>204</v>
      </c>
      <c r="C17" s="60" t="s">
        <v>1303</v>
      </c>
      <c r="D17" s="47"/>
      <c r="E17" s="551" t="s">
        <v>1169</v>
      </c>
      <c r="F17" s="51"/>
    </row>
    <row r="18" spans="1:6" ht="21" customHeight="1">
      <c r="A18" s="996"/>
      <c r="B18" s="996"/>
      <c r="C18" s="373" t="s">
        <v>76</v>
      </c>
      <c r="E18" s="373" t="s">
        <v>76</v>
      </c>
      <c r="F18" s="57"/>
    </row>
    <row r="19" spans="1:6" ht="21" customHeight="1">
      <c r="A19" s="58">
        <v>1</v>
      </c>
      <c r="B19" s="59" t="s">
        <v>270</v>
      </c>
      <c r="C19" s="224">
        <v>1.5</v>
      </c>
      <c r="D19" s="224">
        <v>1.3</v>
      </c>
      <c r="E19" s="224">
        <v>1.6</v>
      </c>
      <c r="F19" s="57"/>
    </row>
    <row r="20" spans="1:6" ht="21" customHeight="1">
      <c r="A20" s="58">
        <v>2</v>
      </c>
      <c r="B20" s="59" t="s">
        <v>271</v>
      </c>
      <c r="C20" s="224">
        <v>3.7</v>
      </c>
      <c r="D20" s="224">
        <v>3.1</v>
      </c>
      <c r="E20" s="224">
        <v>3.9</v>
      </c>
      <c r="F20" s="57"/>
    </row>
    <row r="21" spans="1:6" ht="21" customHeight="1">
      <c r="A21" s="58">
        <v>3</v>
      </c>
      <c r="B21" s="59" t="s">
        <v>272</v>
      </c>
      <c r="C21" s="224">
        <v>1.7</v>
      </c>
      <c r="D21" s="224">
        <v>1.5</v>
      </c>
      <c r="E21" s="224">
        <v>1.8</v>
      </c>
      <c r="F21" s="57"/>
    </row>
    <row r="22" spans="1:6" ht="21" customHeight="1">
      <c r="A22" s="58">
        <v>4</v>
      </c>
      <c r="B22" s="59" t="s">
        <v>286</v>
      </c>
      <c r="C22" s="224">
        <v>3.6</v>
      </c>
      <c r="D22" s="236"/>
      <c r="E22" s="912">
        <v>3.7</v>
      </c>
      <c r="F22" s="57"/>
    </row>
    <row r="23" spans="1:6" ht="21" customHeight="1">
      <c r="A23" s="58">
        <v>5</v>
      </c>
      <c r="B23" s="59" t="s">
        <v>273</v>
      </c>
      <c r="C23" s="224">
        <v>1.1000000000000001</v>
      </c>
      <c r="D23" s="224">
        <v>1</v>
      </c>
      <c r="E23" s="224">
        <v>1.1000000000000001</v>
      </c>
      <c r="F23" s="57"/>
    </row>
    <row r="24" spans="1:6" ht="21" customHeight="1">
      <c r="A24" s="58">
        <v>6</v>
      </c>
      <c r="B24" s="59" t="s">
        <v>275</v>
      </c>
      <c r="C24" s="224">
        <v>1.3</v>
      </c>
      <c r="D24" s="236"/>
      <c r="E24" s="912">
        <v>1.4</v>
      </c>
      <c r="F24" s="57"/>
    </row>
    <row r="25" spans="1:6" ht="21" customHeight="1">
      <c r="A25" s="58">
        <v>7</v>
      </c>
      <c r="B25" s="59" t="s">
        <v>276</v>
      </c>
      <c r="C25" s="224">
        <v>1</v>
      </c>
      <c r="D25" s="236"/>
      <c r="E25" s="912">
        <v>1.1000000000000001</v>
      </c>
      <c r="F25" s="57" t="s">
        <v>117</v>
      </c>
    </row>
    <row r="26" spans="1:6" ht="21" customHeight="1">
      <c r="A26" s="58">
        <v>8</v>
      </c>
      <c r="B26" s="59" t="s">
        <v>277</v>
      </c>
      <c r="C26" s="224">
        <v>1</v>
      </c>
      <c r="D26" s="224">
        <v>0.8</v>
      </c>
      <c r="E26" s="224">
        <v>1</v>
      </c>
      <c r="F26" s="57"/>
    </row>
    <row r="27" spans="1:6" ht="21" customHeight="1">
      <c r="A27" s="58">
        <v>9</v>
      </c>
      <c r="B27" s="59" t="s">
        <v>278</v>
      </c>
      <c r="C27" s="224">
        <v>1</v>
      </c>
      <c r="D27" s="224">
        <v>0.8</v>
      </c>
      <c r="E27" s="224">
        <v>1.1000000000000001</v>
      </c>
      <c r="F27" s="57"/>
    </row>
    <row r="28" spans="1:6" ht="21" customHeight="1">
      <c r="A28" s="58">
        <v>10</v>
      </c>
      <c r="B28" s="59" t="s">
        <v>5</v>
      </c>
      <c r="C28" s="224">
        <v>2.8</v>
      </c>
      <c r="D28" s="236"/>
      <c r="E28" s="912">
        <v>2.9</v>
      </c>
      <c r="F28" s="57"/>
    </row>
    <row r="29" spans="1:6" ht="21" customHeight="1">
      <c r="A29" s="58">
        <v>11</v>
      </c>
      <c r="B29" s="59" t="s">
        <v>422</v>
      </c>
      <c r="C29" s="224">
        <v>4</v>
      </c>
      <c r="D29" s="224">
        <v>3.3</v>
      </c>
      <c r="E29" s="224">
        <v>4.0999999999999996</v>
      </c>
      <c r="F29" s="57"/>
    </row>
    <row r="30" spans="1:6">
      <c r="A30" s="58">
        <v>12</v>
      </c>
      <c r="B30" s="59" t="s">
        <v>280</v>
      </c>
      <c r="C30" s="224">
        <v>4.8</v>
      </c>
      <c r="D30" s="224">
        <v>4</v>
      </c>
      <c r="E30" s="224">
        <v>5</v>
      </c>
    </row>
    <row r="31" spans="1:6">
      <c r="A31" s="58">
        <v>13</v>
      </c>
      <c r="B31" s="59" t="s">
        <v>281</v>
      </c>
      <c r="C31" s="224">
        <v>5.2</v>
      </c>
      <c r="D31" s="224">
        <v>4.0999999999999996</v>
      </c>
      <c r="E31" s="224">
        <v>5.4</v>
      </c>
    </row>
    <row r="32" spans="1:6">
      <c r="A32" s="58">
        <v>14</v>
      </c>
      <c r="B32" s="59" t="s">
        <v>282</v>
      </c>
      <c r="C32" s="224">
        <v>1.8</v>
      </c>
      <c r="D32" s="236"/>
      <c r="E32" s="145">
        <v>1.8</v>
      </c>
    </row>
    <row r="33" spans="1:6">
      <c r="A33" s="58">
        <v>15</v>
      </c>
      <c r="B33" s="59" t="s">
        <v>283</v>
      </c>
      <c r="C33" s="224">
        <v>2.1</v>
      </c>
      <c r="D33" s="224">
        <v>1.8</v>
      </c>
      <c r="E33" s="224">
        <v>2.2000000000000002</v>
      </c>
    </row>
    <row r="34" spans="1:6">
      <c r="A34" s="58">
        <v>16</v>
      </c>
      <c r="B34" s="59" t="s">
        <v>419</v>
      </c>
      <c r="C34" s="224">
        <v>7.7</v>
      </c>
      <c r="D34" s="224">
        <v>6.3</v>
      </c>
      <c r="E34" s="224">
        <v>8</v>
      </c>
    </row>
    <row r="35" spans="1:6">
      <c r="A35" s="58">
        <v>17</v>
      </c>
      <c r="B35" s="59" t="s">
        <v>4</v>
      </c>
      <c r="C35" s="224">
        <v>55.8</v>
      </c>
      <c r="D35" s="224">
        <v>43.8</v>
      </c>
      <c r="E35" s="224">
        <v>58</v>
      </c>
    </row>
    <row r="36" spans="1:6">
      <c r="A36" s="47"/>
      <c r="B36" s="31" t="s">
        <v>201</v>
      </c>
      <c r="C36" s="400">
        <f>SUM(C19:C35)</f>
        <v>100.1</v>
      </c>
      <c r="D36" s="236"/>
      <c r="E36" s="407">
        <f>SUM(E19:E35)</f>
        <v>104.1</v>
      </c>
    </row>
    <row r="37" spans="1:6">
      <c r="A37" s="26"/>
      <c r="B37" s="28"/>
      <c r="C37" s="62"/>
    </row>
    <row r="38" spans="1:6" ht="12" customHeight="1">
      <c r="A38" s="1013" t="s">
        <v>152</v>
      </c>
      <c r="B38" s="1013"/>
      <c r="C38" s="1013"/>
      <c r="E38" s="26"/>
      <c r="F38" s="26"/>
    </row>
    <row r="39" spans="1:6" ht="12" customHeight="1">
      <c r="E39" s="26"/>
      <c r="F39" s="26"/>
    </row>
    <row r="40" spans="1:6" ht="12" customHeight="1">
      <c r="D40" s="155"/>
      <c r="E40" s="479" t="s">
        <v>296</v>
      </c>
      <c r="F40" s="217"/>
    </row>
    <row r="41" spans="1:6" ht="27" customHeight="1">
      <c r="A41" s="1012" t="s">
        <v>1305</v>
      </c>
      <c r="B41" s="1012"/>
      <c r="C41" s="1012"/>
      <c r="D41" s="1012"/>
      <c r="E41" s="1012"/>
      <c r="F41" s="217"/>
    </row>
    <row r="42" spans="1:6">
      <c r="A42" s="40"/>
      <c r="D42" s="155"/>
      <c r="E42" s="44" t="s">
        <v>150</v>
      </c>
      <c r="F42" s="217"/>
    </row>
    <row r="43" spans="1:6">
      <c r="A43" s="995" t="s">
        <v>357</v>
      </c>
      <c r="B43" s="995" t="s">
        <v>204</v>
      </c>
      <c r="C43" s="60" t="s">
        <v>928</v>
      </c>
      <c r="D43" s="488"/>
      <c r="E43" s="372" t="s">
        <v>1306</v>
      </c>
      <c r="F43" s="217"/>
    </row>
    <row r="44" spans="1:6" ht="21" customHeight="1">
      <c r="A44" s="996"/>
      <c r="B44" s="996"/>
      <c r="C44" s="46" t="s">
        <v>76</v>
      </c>
      <c r="D44" s="217"/>
      <c r="E44" s="46" t="s">
        <v>76</v>
      </c>
      <c r="F44" s="217"/>
    </row>
    <row r="45" spans="1:6">
      <c r="A45" s="484">
        <v>1</v>
      </c>
      <c r="B45" s="209" t="s">
        <v>270</v>
      </c>
      <c r="C45" s="722">
        <v>1466.26</v>
      </c>
      <c r="D45" s="722">
        <v>1466.26</v>
      </c>
      <c r="E45" s="722">
        <v>1466.26</v>
      </c>
      <c r="F45" s="217"/>
    </row>
    <row r="46" spans="1:6">
      <c r="A46" s="484">
        <v>2</v>
      </c>
      <c r="B46" s="209" t="s">
        <v>271</v>
      </c>
      <c r="C46" s="722">
        <v>2739.51</v>
      </c>
      <c r="D46" s="722">
        <v>2739.51</v>
      </c>
      <c r="E46" s="722">
        <v>2739.51</v>
      </c>
      <c r="F46" s="217"/>
    </row>
    <row r="47" spans="1:6">
      <c r="A47" s="484">
        <v>3</v>
      </c>
      <c r="B47" s="209" t="s">
        <v>272</v>
      </c>
      <c r="C47" s="722">
        <v>1700.78</v>
      </c>
      <c r="D47" s="722">
        <v>1700.78</v>
      </c>
      <c r="E47" s="722">
        <v>1700.78</v>
      </c>
      <c r="F47" s="217"/>
    </row>
    <row r="48" spans="1:6">
      <c r="A48" s="484">
        <v>4</v>
      </c>
      <c r="B48" s="209" t="s">
        <v>273</v>
      </c>
      <c r="C48" s="722">
        <v>2058.27</v>
      </c>
      <c r="D48" s="722">
        <v>2058.27</v>
      </c>
      <c r="E48" s="722">
        <v>2058.27</v>
      </c>
      <c r="F48" s="217"/>
    </row>
    <row r="49" spans="1:6">
      <c r="A49" s="484">
        <v>5</v>
      </c>
      <c r="B49" s="209" t="s">
        <v>274</v>
      </c>
      <c r="C49" s="722">
        <v>2415.31</v>
      </c>
      <c r="D49" s="722">
        <v>2415.31</v>
      </c>
      <c r="E49" s="722">
        <v>2415.31</v>
      </c>
      <c r="F49" s="217"/>
    </row>
    <row r="50" spans="1:6">
      <c r="A50" s="484">
        <v>6</v>
      </c>
      <c r="B50" s="209" t="s">
        <v>275</v>
      </c>
      <c r="C50" s="722">
        <v>1682.03</v>
      </c>
      <c r="D50" s="722">
        <v>1682.03</v>
      </c>
      <c r="E50" s="722">
        <v>1682.03</v>
      </c>
      <c r="F50" s="217"/>
    </row>
    <row r="51" spans="1:6">
      <c r="A51" s="484">
        <v>7</v>
      </c>
      <c r="B51" s="209" t="s">
        <v>276</v>
      </c>
      <c r="C51" s="722">
        <v>1152.3</v>
      </c>
      <c r="D51" s="722">
        <v>1152.3</v>
      </c>
      <c r="E51" s="722">
        <v>1152.3</v>
      </c>
      <c r="F51" s="217"/>
    </row>
    <row r="52" spans="1:6">
      <c r="A52" s="484">
        <v>8</v>
      </c>
      <c r="B52" s="209" t="s">
        <v>277</v>
      </c>
      <c r="C52" s="722">
        <v>1398.86</v>
      </c>
      <c r="D52" s="722">
        <v>1398.86</v>
      </c>
      <c r="E52" s="722">
        <v>1398.86</v>
      </c>
      <c r="F52" s="217"/>
    </row>
    <row r="53" spans="1:6">
      <c r="A53" s="484">
        <v>9</v>
      </c>
      <c r="B53" s="209" t="s">
        <v>278</v>
      </c>
      <c r="C53" s="722">
        <v>1450.06</v>
      </c>
      <c r="D53" s="722">
        <v>1450.06</v>
      </c>
      <c r="E53" s="722">
        <v>1450.06</v>
      </c>
      <c r="F53" s="217"/>
    </row>
    <row r="54" spans="1:6">
      <c r="A54" s="484">
        <v>10</v>
      </c>
      <c r="B54" s="209" t="s">
        <v>279</v>
      </c>
      <c r="C54" s="722">
        <v>2249.19</v>
      </c>
      <c r="D54" s="722">
        <v>2249.19</v>
      </c>
      <c r="E54" s="722">
        <v>2249.19</v>
      </c>
      <c r="F54" s="217"/>
    </row>
    <row r="55" spans="1:6">
      <c r="A55" s="484">
        <v>11</v>
      </c>
      <c r="B55" s="209" t="s">
        <v>284</v>
      </c>
      <c r="C55" s="722">
        <v>2380.1799999999998</v>
      </c>
      <c r="D55" s="722">
        <v>2380.1799999999998</v>
      </c>
      <c r="E55" s="722">
        <v>2380.1799999999998</v>
      </c>
      <c r="F55" s="217"/>
    </row>
    <row r="56" spans="1:6">
      <c r="A56" s="484">
        <v>12</v>
      </c>
      <c r="B56" s="209" t="s">
        <v>280</v>
      </c>
      <c r="C56" s="722">
        <v>2636.42</v>
      </c>
      <c r="D56" s="722">
        <v>2636.42</v>
      </c>
      <c r="E56" s="722">
        <v>2636.42</v>
      </c>
      <c r="F56" s="217"/>
    </row>
    <row r="57" spans="1:6">
      <c r="A57" s="484">
        <v>13</v>
      </c>
      <c r="B57" s="209" t="s">
        <v>281</v>
      </c>
      <c r="C57" s="722">
        <v>3027.29</v>
      </c>
      <c r="D57" s="722">
        <v>3027.29</v>
      </c>
      <c r="E57" s="722">
        <v>3027.29</v>
      </c>
      <c r="F57" s="217"/>
    </row>
    <row r="58" spans="1:6">
      <c r="A58" s="484">
        <v>14</v>
      </c>
      <c r="B58" s="209" t="s">
        <v>282</v>
      </c>
      <c r="C58" s="722">
        <v>1719.29</v>
      </c>
      <c r="D58" s="722">
        <v>1719.29</v>
      </c>
      <c r="E58" s="722">
        <v>1719.29</v>
      </c>
      <c r="F58" s="217"/>
    </row>
    <row r="59" spans="1:6">
      <c r="A59" s="484">
        <v>15</v>
      </c>
      <c r="B59" s="209" t="s">
        <v>550</v>
      </c>
      <c r="C59" s="722">
        <v>1324.25</v>
      </c>
      <c r="D59" s="722">
        <v>1324.25</v>
      </c>
      <c r="E59" s="722">
        <v>1324.25</v>
      </c>
      <c r="F59" s="217"/>
    </row>
    <row r="60" spans="1:6" ht="28.5" customHeight="1">
      <c r="A60" s="483"/>
      <c r="B60" s="210" t="s">
        <v>201</v>
      </c>
      <c r="C60" s="400">
        <f>SUM(C45:C59)</f>
        <v>29400</v>
      </c>
      <c r="D60" s="489"/>
      <c r="E60" s="399">
        <f>SUM(E45:E59)</f>
        <v>29400</v>
      </c>
      <c r="F60" s="217"/>
    </row>
    <row r="61" spans="1:6">
      <c r="A61" s="26"/>
      <c r="B61" s="485"/>
      <c r="C61" s="486"/>
      <c r="D61" s="487"/>
      <c r="E61" s="418"/>
      <c r="F61" s="217"/>
    </row>
    <row r="62" spans="1:6">
      <c r="F62" s="26"/>
    </row>
    <row r="63" spans="1:6" s="198" customFormat="1" ht="43.5" customHeight="1">
      <c r="A63" s="997" t="s">
        <v>1020</v>
      </c>
      <c r="B63" s="997"/>
      <c r="C63" s="997"/>
      <c r="D63" s="4"/>
      <c r="E63" s="4"/>
    </row>
    <row r="64" spans="1:6">
      <c r="C64" s="61" t="s">
        <v>150</v>
      </c>
    </row>
    <row r="65" spans="1:3" ht="25.5">
      <c r="A65" s="866" t="s">
        <v>357</v>
      </c>
      <c r="B65" s="866" t="s">
        <v>204</v>
      </c>
      <c r="C65" s="866" t="s">
        <v>1301</v>
      </c>
    </row>
    <row r="66" spans="1:3" ht="15">
      <c r="A66" s="719">
        <v>1</v>
      </c>
      <c r="B66" s="719" t="s">
        <v>270</v>
      </c>
      <c r="C66" s="725">
        <v>6.6483999999999996</v>
      </c>
    </row>
    <row r="67" spans="1:3">
      <c r="A67" s="562">
        <v>2</v>
      </c>
      <c r="B67" s="562" t="s">
        <v>271</v>
      </c>
      <c r="C67" s="725">
        <v>6.6483999999999996</v>
      </c>
    </row>
    <row r="68" spans="1:3">
      <c r="A68" s="562">
        <v>3</v>
      </c>
      <c r="B68" s="562" t="s">
        <v>272</v>
      </c>
      <c r="C68" s="725">
        <v>6.6483999999999996</v>
      </c>
    </row>
    <row r="69" spans="1:3">
      <c r="A69" s="562">
        <v>4</v>
      </c>
      <c r="B69" s="562" t="s">
        <v>273</v>
      </c>
      <c r="C69" s="725">
        <v>6.6483999999999996</v>
      </c>
    </row>
    <row r="70" spans="1:3">
      <c r="A70" s="562">
        <v>5</v>
      </c>
      <c r="B70" s="562" t="s">
        <v>274</v>
      </c>
      <c r="C70" s="725">
        <v>6.6483999999999996</v>
      </c>
    </row>
    <row r="71" spans="1:3">
      <c r="A71" s="562">
        <v>6</v>
      </c>
      <c r="B71" s="562" t="s">
        <v>275</v>
      </c>
      <c r="C71" s="725">
        <v>6.6483999999999996</v>
      </c>
    </row>
    <row r="72" spans="1:3">
      <c r="A72" s="562">
        <v>7</v>
      </c>
      <c r="B72" s="562" t="s">
        <v>276</v>
      </c>
      <c r="C72" s="725">
        <v>6.6483999999999996</v>
      </c>
    </row>
    <row r="73" spans="1:3">
      <c r="A73" s="562">
        <v>8</v>
      </c>
      <c r="B73" s="562" t="s">
        <v>277</v>
      </c>
      <c r="C73" s="725">
        <v>6.6483999999999996</v>
      </c>
    </row>
    <row r="74" spans="1:3">
      <c r="A74" s="562">
        <v>9</v>
      </c>
      <c r="B74" s="562" t="s">
        <v>278</v>
      </c>
      <c r="C74" s="725">
        <v>6.6483999999999996</v>
      </c>
    </row>
    <row r="75" spans="1:3">
      <c r="A75" s="562">
        <v>10</v>
      </c>
      <c r="B75" s="562" t="s">
        <v>279</v>
      </c>
      <c r="C75" s="725">
        <v>6.6483999999999996</v>
      </c>
    </row>
    <row r="76" spans="1:3">
      <c r="A76" s="562">
        <v>11</v>
      </c>
      <c r="B76" s="562" t="s">
        <v>284</v>
      </c>
      <c r="C76" s="725">
        <v>6.6483999999999996</v>
      </c>
    </row>
    <row r="77" spans="1:3">
      <c r="A77" s="562">
        <v>12</v>
      </c>
      <c r="B77" s="562" t="s">
        <v>280</v>
      </c>
      <c r="C77" s="725">
        <v>6.6483999999999996</v>
      </c>
    </row>
    <row r="78" spans="1:3">
      <c r="A78" s="562">
        <v>13</v>
      </c>
      <c r="B78" s="562" t="s">
        <v>281</v>
      </c>
      <c r="C78" s="725">
        <v>6.6483999999999996</v>
      </c>
    </row>
    <row r="79" spans="1:3">
      <c r="A79" s="562">
        <v>14</v>
      </c>
      <c r="B79" s="562" t="s">
        <v>282</v>
      </c>
      <c r="C79" s="725">
        <v>6.6483999999999996</v>
      </c>
    </row>
    <row r="80" spans="1:3">
      <c r="A80" s="562">
        <v>15</v>
      </c>
      <c r="B80" s="562" t="s">
        <v>283</v>
      </c>
      <c r="C80" s="725">
        <v>6.6483999999999996</v>
      </c>
    </row>
    <row r="81" spans="1:3">
      <c r="A81" s="562">
        <v>16</v>
      </c>
      <c r="B81" s="562" t="s">
        <v>419</v>
      </c>
      <c r="C81" s="725">
        <v>6.6483999999999996</v>
      </c>
    </row>
    <row r="82" spans="1:3">
      <c r="A82" s="562">
        <v>17</v>
      </c>
      <c r="B82" s="562" t="s">
        <v>4</v>
      </c>
      <c r="C82" s="725">
        <v>6.6483999999999996</v>
      </c>
    </row>
    <row r="83" spans="1:3">
      <c r="A83" s="720"/>
      <c r="B83" s="720" t="s">
        <v>201</v>
      </c>
      <c r="C83" s="724">
        <f>SUM(C66:C82)</f>
        <v>113.02279999999998</v>
      </c>
    </row>
  </sheetData>
  <mergeCells count="13">
    <mergeCell ref="A63:C63"/>
    <mergeCell ref="B43:B44"/>
    <mergeCell ref="A41:E41"/>
    <mergeCell ref="A43:A44"/>
    <mergeCell ref="B6:E6"/>
    <mergeCell ref="A38:C38"/>
    <mergeCell ref="A9:C9"/>
    <mergeCell ref="E9:F9"/>
    <mergeCell ref="A11:C11"/>
    <mergeCell ref="A17:A18"/>
    <mergeCell ref="B17:B18"/>
    <mergeCell ref="A15:E15"/>
    <mergeCell ref="B7:E7"/>
  </mergeCells>
  <pageMargins left="0.70866141732283472" right="0.70866141732283472" top="0.74803149606299213" bottom="0.74803149606299213" header="0.31496062992125984" footer="0.31496062992125984"/>
  <pageSetup paperSize="9" scale="80" orientation="portrait" r:id="rId1"/>
  <rowBreaks count="1" manualBreakCount="1">
    <brk id="83" max="4" man="1"/>
  </rowBreaks>
</worksheet>
</file>

<file path=xl/worksheets/sheet2.xml><?xml version="1.0" encoding="utf-8"?>
<worksheet xmlns="http://schemas.openxmlformats.org/spreadsheetml/2006/main" xmlns:r="http://schemas.openxmlformats.org/officeDocument/2006/relationships">
  <sheetPr enableFormatConditionsCalculation="0">
    <tabColor indexed="9"/>
  </sheetPr>
  <dimension ref="A1:D117"/>
  <sheetViews>
    <sheetView view="pageBreakPreview" zoomScale="80" zoomScaleSheetLayoutView="80" workbookViewId="0">
      <selection activeCell="B12" sqref="B12:D12"/>
    </sheetView>
  </sheetViews>
  <sheetFormatPr defaultRowHeight="12.75"/>
  <cols>
    <col min="1" max="1" width="5.28515625" style="4" customWidth="1"/>
    <col min="2" max="2" width="9.85546875" style="29" customWidth="1"/>
    <col min="3" max="3" width="24.7109375" style="29" customWidth="1"/>
    <col min="4" max="4" width="58" style="4" customWidth="1"/>
    <col min="5" max="5" width="9.140625" style="4"/>
    <col min="6" max="6" width="9.140625" style="4" customWidth="1"/>
    <col min="7" max="16384" width="9.140625" style="4"/>
  </cols>
  <sheetData>
    <row r="1" spans="1:4">
      <c r="D1" s="742" t="s">
        <v>360</v>
      </c>
    </row>
    <row r="2" spans="1:4">
      <c r="D2" s="742" t="s">
        <v>199</v>
      </c>
    </row>
    <row r="3" spans="1:4">
      <c r="D3" s="742" t="s">
        <v>298</v>
      </c>
    </row>
    <row r="4" spans="1:4">
      <c r="D4" s="742" t="s">
        <v>148</v>
      </c>
    </row>
    <row r="5" spans="1:4">
      <c r="D5" s="742" t="s">
        <v>299</v>
      </c>
    </row>
    <row r="6" spans="1:4">
      <c r="D6" s="792" t="s">
        <v>1132</v>
      </c>
    </row>
    <row r="7" spans="1:4">
      <c r="D7" s="792" t="s">
        <v>1134</v>
      </c>
    </row>
    <row r="9" spans="1:4" ht="45.75" customHeight="1">
      <c r="A9" s="926" t="s">
        <v>459</v>
      </c>
      <c r="B9" s="926"/>
      <c r="C9" s="926"/>
      <c r="D9" s="926"/>
    </row>
    <row r="10" spans="1:4">
      <c r="A10" s="940" t="s">
        <v>357</v>
      </c>
      <c r="B10" s="940" t="s">
        <v>358</v>
      </c>
      <c r="C10" s="940"/>
      <c r="D10" s="940" t="s">
        <v>204</v>
      </c>
    </row>
    <row r="11" spans="1:4" ht="15.75" customHeight="1">
      <c r="A11" s="940"/>
      <c r="B11" s="739" t="s">
        <v>359</v>
      </c>
      <c r="C11" s="739" t="s">
        <v>361</v>
      </c>
      <c r="D11" s="940"/>
    </row>
    <row r="12" spans="1:4">
      <c r="A12" s="941">
        <v>1</v>
      </c>
      <c r="B12" s="940" t="s">
        <v>164</v>
      </c>
      <c r="C12" s="940"/>
      <c r="D12" s="940"/>
    </row>
    <row r="13" spans="1:4" ht="30" customHeight="1">
      <c r="A13" s="941"/>
      <c r="B13" s="414">
        <v>931</v>
      </c>
      <c r="C13" s="717" t="s">
        <v>143</v>
      </c>
      <c r="D13" s="415" t="s">
        <v>144</v>
      </c>
    </row>
    <row r="14" spans="1:4" ht="25.5">
      <c r="A14" s="941"/>
      <c r="B14" s="740">
        <v>931</v>
      </c>
      <c r="C14" s="412" t="s">
        <v>166</v>
      </c>
      <c r="D14" s="413" t="s">
        <v>167</v>
      </c>
    </row>
    <row r="15" spans="1:4">
      <c r="A15" s="941"/>
      <c r="B15" s="740">
        <v>931</v>
      </c>
      <c r="C15" s="412" t="s">
        <v>168</v>
      </c>
      <c r="D15" s="413" t="s">
        <v>169</v>
      </c>
    </row>
    <row r="16" spans="1:4" ht="25.5">
      <c r="A16" s="941"/>
      <c r="B16" s="740">
        <v>931</v>
      </c>
      <c r="C16" s="740" t="s">
        <v>604</v>
      </c>
      <c r="D16" s="413" t="s">
        <v>170</v>
      </c>
    </row>
    <row r="17" spans="1:4" ht="25.5">
      <c r="A17" s="941"/>
      <c r="B17" s="740">
        <v>931</v>
      </c>
      <c r="C17" s="740" t="s">
        <v>605</v>
      </c>
      <c r="D17" s="413" t="s">
        <v>171</v>
      </c>
    </row>
    <row r="18" spans="1:4">
      <c r="A18" s="941"/>
      <c r="B18" s="740">
        <v>931</v>
      </c>
      <c r="C18" s="740" t="s">
        <v>606</v>
      </c>
      <c r="D18" s="413" t="s">
        <v>172</v>
      </c>
    </row>
    <row r="19" spans="1:4">
      <c r="A19" s="941"/>
      <c r="B19" s="740">
        <v>931</v>
      </c>
      <c r="C19" s="740" t="s">
        <v>607</v>
      </c>
      <c r="D19" s="413" t="s">
        <v>173</v>
      </c>
    </row>
    <row r="20" spans="1:4" ht="30" customHeight="1">
      <c r="A20" s="941"/>
      <c r="B20" s="740">
        <v>931</v>
      </c>
      <c r="C20" s="740" t="s">
        <v>608</v>
      </c>
      <c r="D20" s="413" t="s">
        <v>385</v>
      </c>
    </row>
    <row r="21" spans="1:4" ht="75.75" customHeight="1">
      <c r="A21" s="941"/>
      <c r="B21" s="740">
        <v>931</v>
      </c>
      <c r="C21" s="740" t="s">
        <v>609</v>
      </c>
      <c r="D21" s="413" t="s">
        <v>386</v>
      </c>
    </row>
    <row r="22" spans="1:4">
      <c r="A22" s="941"/>
      <c r="B22" s="942">
        <v>931</v>
      </c>
      <c r="C22" s="942" t="s">
        <v>610</v>
      </c>
      <c r="D22" s="943" t="s">
        <v>387</v>
      </c>
    </row>
    <row r="23" spans="1:4" ht="43.5" customHeight="1">
      <c r="A23" s="941"/>
      <c r="B23" s="942"/>
      <c r="C23" s="942"/>
      <c r="D23" s="943"/>
    </row>
    <row r="24" spans="1:4" ht="38.25">
      <c r="A24" s="941"/>
      <c r="B24" s="740">
        <v>931</v>
      </c>
      <c r="C24" s="740" t="s">
        <v>611</v>
      </c>
      <c r="D24" s="741" t="s">
        <v>79</v>
      </c>
    </row>
    <row r="25" spans="1:4" ht="13.5" thickBot="1">
      <c r="A25" s="941">
        <v>2</v>
      </c>
      <c r="B25" s="940" t="s">
        <v>414</v>
      </c>
      <c r="C25" s="940"/>
      <c r="D25" s="940"/>
    </row>
    <row r="26" spans="1:4" ht="85.5" customHeight="1" thickBot="1">
      <c r="A26" s="941"/>
      <c r="B26" s="913">
        <v>934</v>
      </c>
      <c r="C26" s="914" t="s">
        <v>464</v>
      </c>
      <c r="D26" s="915" t="s">
        <v>465</v>
      </c>
    </row>
    <row r="27" spans="1:4" ht="67.5" customHeight="1" thickBot="1">
      <c r="A27" s="941"/>
      <c r="B27" s="916">
        <v>934</v>
      </c>
      <c r="C27" s="914" t="s">
        <v>132</v>
      </c>
      <c r="D27" s="915" t="s">
        <v>125</v>
      </c>
    </row>
    <row r="28" spans="1:4" ht="54.75" customHeight="1" thickBot="1">
      <c r="A28" s="941"/>
      <c r="B28" s="916">
        <v>934</v>
      </c>
      <c r="C28" s="917" t="s">
        <v>80</v>
      </c>
      <c r="D28" s="918" t="s">
        <v>81</v>
      </c>
    </row>
    <row r="29" spans="1:4" ht="46.5" customHeight="1" thickBot="1">
      <c r="A29" s="941"/>
      <c r="B29" s="916">
        <v>934</v>
      </c>
      <c r="C29" s="917" t="s">
        <v>82</v>
      </c>
      <c r="D29" s="918" t="s">
        <v>42</v>
      </c>
    </row>
    <row r="30" spans="1:4" ht="73.5" customHeight="1" thickBot="1">
      <c r="A30" s="941"/>
      <c r="B30" s="916">
        <v>934</v>
      </c>
      <c r="C30" s="914" t="s">
        <v>43</v>
      </c>
      <c r="D30" s="918" t="s">
        <v>44</v>
      </c>
    </row>
    <row r="31" spans="1:4" ht="26.25" thickBot="1">
      <c r="A31" s="941"/>
      <c r="B31" s="916">
        <v>934</v>
      </c>
      <c r="C31" s="914" t="s">
        <v>143</v>
      </c>
      <c r="D31" s="915" t="s">
        <v>144</v>
      </c>
    </row>
    <row r="32" spans="1:4" ht="38.25" customHeight="1" thickBot="1">
      <c r="A32" s="941"/>
      <c r="B32" s="916">
        <v>934</v>
      </c>
      <c r="C32" s="914" t="s">
        <v>45</v>
      </c>
      <c r="D32" s="918" t="s">
        <v>46</v>
      </c>
    </row>
    <row r="33" spans="1:4" ht="77.25" thickBot="1">
      <c r="A33" s="941"/>
      <c r="B33" s="916">
        <v>934</v>
      </c>
      <c r="C33" s="914" t="s">
        <v>47</v>
      </c>
      <c r="D33" s="918" t="s">
        <v>48</v>
      </c>
    </row>
    <row r="34" spans="1:4" ht="39" thickBot="1">
      <c r="A34" s="941"/>
      <c r="B34" s="916">
        <v>934</v>
      </c>
      <c r="C34" s="914" t="s">
        <v>466</v>
      </c>
      <c r="D34" s="918" t="s">
        <v>467</v>
      </c>
    </row>
    <row r="35" spans="1:4" ht="39" thickBot="1">
      <c r="A35" s="941"/>
      <c r="B35" s="916">
        <v>934</v>
      </c>
      <c r="C35" s="914" t="s">
        <v>133</v>
      </c>
      <c r="D35" s="915" t="s">
        <v>128</v>
      </c>
    </row>
    <row r="36" spans="1:4" ht="51.75" thickBot="1">
      <c r="A36" s="941"/>
      <c r="B36" s="916">
        <v>934</v>
      </c>
      <c r="C36" s="916" t="s">
        <v>933</v>
      </c>
      <c r="D36" s="915" t="s">
        <v>958</v>
      </c>
    </row>
    <row r="37" spans="1:4" ht="51" customHeight="1" thickBot="1">
      <c r="A37" s="941"/>
      <c r="B37" s="916">
        <v>934</v>
      </c>
      <c r="C37" s="916" t="s">
        <v>959</v>
      </c>
      <c r="D37" s="915" t="s">
        <v>955</v>
      </c>
    </row>
    <row r="38" spans="1:4" ht="77.25" thickBot="1">
      <c r="A38" s="941"/>
      <c r="B38" s="916">
        <v>934</v>
      </c>
      <c r="C38" s="916" t="s">
        <v>1331</v>
      </c>
      <c r="D38" s="915" t="s">
        <v>1332</v>
      </c>
    </row>
    <row r="39" spans="1:4" ht="26.25" thickBot="1">
      <c r="A39" s="941"/>
      <c r="B39" s="916">
        <v>934</v>
      </c>
      <c r="C39" s="914" t="s">
        <v>166</v>
      </c>
      <c r="D39" s="918" t="s">
        <v>167</v>
      </c>
    </row>
    <row r="40" spans="1:4" ht="25.5" customHeight="1" thickBot="1">
      <c r="A40" s="941"/>
      <c r="B40" s="916">
        <v>934</v>
      </c>
      <c r="C40" s="917" t="s">
        <v>168</v>
      </c>
      <c r="D40" s="918" t="s">
        <v>169</v>
      </c>
    </row>
    <row r="41" spans="1:4" ht="26.25" thickBot="1">
      <c r="A41" s="941"/>
      <c r="B41" s="916">
        <v>934</v>
      </c>
      <c r="C41" s="917" t="s">
        <v>1333</v>
      </c>
      <c r="D41" s="919" t="s">
        <v>624</v>
      </c>
    </row>
    <row r="42" spans="1:4" ht="26.25" thickBot="1">
      <c r="A42" s="941"/>
      <c r="B42" s="920">
        <v>934</v>
      </c>
      <c r="C42" s="921" t="s">
        <v>1125</v>
      </c>
      <c r="D42" s="919" t="s">
        <v>1334</v>
      </c>
    </row>
    <row r="43" spans="1:4" ht="77.25" thickBot="1">
      <c r="A43" s="941"/>
      <c r="B43" s="920">
        <v>934</v>
      </c>
      <c r="C43" s="921" t="s">
        <v>1335</v>
      </c>
      <c r="D43" s="922" t="s">
        <v>1336</v>
      </c>
    </row>
    <row r="44" spans="1:4" ht="51.75" thickBot="1">
      <c r="A44" s="941"/>
      <c r="B44" s="920">
        <v>934</v>
      </c>
      <c r="C44" s="921" t="s">
        <v>652</v>
      </c>
      <c r="D44" s="922" t="s">
        <v>656</v>
      </c>
    </row>
    <row r="45" spans="1:4" ht="51.75" thickBot="1">
      <c r="A45" s="941"/>
      <c r="B45" s="916">
        <v>934</v>
      </c>
      <c r="C45" s="917" t="s">
        <v>726</v>
      </c>
      <c r="D45" s="919" t="s">
        <v>1337</v>
      </c>
    </row>
    <row r="46" spans="1:4" ht="25.5" customHeight="1" thickBot="1">
      <c r="A46" s="941"/>
      <c r="B46" s="916">
        <v>934</v>
      </c>
      <c r="C46" s="917" t="s">
        <v>617</v>
      </c>
      <c r="D46" s="919" t="s">
        <v>618</v>
      </c>
    </row>
    <row r="47" spans="1:4" ht="39" thickBot="1">
      <c r="A47" s="941"/>
      <c r="B47" s="916">
        <v>934</v>
      </c>
      <c r="C47" s="917" t="s">
        <v>1127</v>
      </c>
      <c r="D47" s="919" t="s">
        <v>1338</v>
      </c>
    </row>
    <row r="48" spans="1:4" ht="26.25" thickBot="1">
      <c r="A48" s="941"/>
      <c r="B48" s="916">
        <v>934</v>
      </c>
      <c r="C48" s="917" t="s">
        <v>1128</v>
      </c>
      <c r="D48" s="919" t="s">
        <v>1339</v>
      </c>
    </row>
    <row r="49" spans="1:4" ht="26.25" thickBot="1">
      <c r="A49" s="941"/>
      <c r="B49" s="916">
        <v>934</v>
      </c>
      <c r="C49" s="917" t="s">
        <v>619</v>
      </c>
      <c r="D49" s="919" t="s">
        <v>495</v>
      </c>
    </row>
    <row r="50" spans="1:4" ht="39" thickBot="1">
      <c r="A50" s="941"/>
      <c r="B50" s="916">
        <v>934</v>
      </c>
      <c r="C50" s="917" t="s">
        <v>627</v>
      </c>
      <c r="D50" s="919" t="s">
        <v>1340</v>
      </c>
    </row>
    <row r="51" spans="1:4" ht="54" customHeight="1" thickBot="1">
      <c r="A51" s="941"/>
      <c r="B51" s="916">
        <v>934</v>
      </c>
      <c r="C51" s="917" t="s">
        <v>616</v>
      </c>
      <c r="D51" s="919" t="s">
        <v>615</v>
      </c>
    </row>
    <row r="52" spans="1:4" ht="26.25" thickBot="1">
      <c r="A52" s="941"/>
      <c r="B52" s="916">
        <v>934</v>
      </c>
      <c r="C52" s="917" t="s">
        <v>1341</v>
      </c>
      <c r="D52" s="919" t="s">
        <v>1342</v>
      </c>
    </row>
    <row r="53" spans="1:4" ht="54.75" customHeight="1" thickBot="1">
      <c r="A53" s="941"/>
      <c r="B53" s="916">
        <v>934</v>
      </c>
      <c r="C53" s="917" t="s">
        <v>1343</v>
      </c>
      <c r="D53" s="919" t="s">
        <v>1344</v>
      </c>
    </row>
    <row r="54" spans="1:4" ht="54.75" customHeight="1" thickBot="1">
      <c r="A54" s="941"/>
      <c r="B54" s="916">
        <v>934</v>
      </c>
      <c r="C54" s="917" t="s">
        <v>737</v>
      </c>
      <c r="D54" s="919" t="s">
        <v>1345</v>
      </c>
    </row>
    <row r="55" spans="1:4" ht="54.75" customHeight="1" thickBot="1">
      <c r="A55" s="941"/>
      <c r="B55" s="916">
        <v>934</v>
      </c>
      <c r="C55" s="917" t="s">
        <v>623</v>
      </c>
      <c r="D55" s="919" t="s">
        <v>624</v>
      </c>
    </row>
    <row r="56" spans="1:4" ht="54.75" customHeight="1" thickBot="1">
      <c r="A56" s="941"/>
      <c r="B56" s="916">
        <v>934</v>
      </c>
      <c r="C56" s="917" t="s">
        <v>1346</v>
      </c>
      <c r="D56" s="919" t="s">
        <v>173</v>
      </c>
    </row>
    <row r="57" spans="1:4" ht="54.75" customHeight="1" thickBot="1">
      <c r="A57" s="941"/>
      <c r="B57" s="916">
        <v>934</v>
      </c>
      <c r="C57" s="914" t="s">
        <v>620</v>
      </c>
      <c r="D57" s="918" t="s">
        <v>468</v>
      </c>
    </row>
    <row r="58" spans="1:4" ht="54.75" customHeight="1" thickBot="1">
      <c r="A58" s="941"/>
      <c r="B58" s="916">
        <v>934</v>
      </c>
      <c r="C58" s="914" t="s">
        <v>608</v>
      </c>
      <c r="D58" s="915" t="s">
        <v>385</v>
      </c>
    </row>
    <row r="59" spans="1:4" ht="54.75" customHeight="1" thickBot="1">
      <c r="A59" s="941"/>
      <c r="B59" s="916">
        <v>934</v>
      </c>
      <c r="C59" s="914" t="s">
        <v>1129</v>
      </c>
      <c r="D59" s="915" t="s">
        <v>1347</v>
      </c>
    </row>
    <row r="60" spans="1:4" ht="54.75" customHeight="1" thickBot="1">
      <c r="A60" s="941"/>
      <c r="B60" s="916">
        <v>934</v>
      </c>
      <c r="C60" s="917" t="s">
        <v>609</v>
      </c>
      <c r="D60" s="919" t="s">
        <v>189</v>
      </c>
    </row>
    <row r="61" spans="1:4" ht="54.75" customHeight="1" thickBot="1">
      <c r="A61" s="941"/>
      <c r="B61" s="916">
        <v>934</v>
      </c>
      <c r="C61" s="917" t="s">
        <v>621</v>
      </c>
      <c r="D61" s="919" t="s">
        <v>1348</v>
      </c>
    </row>
    <row r="62" spans="1:4" ht="54.75" customHeight="1" thickBot="1">
      <c r="A62" s="941"/>
      <c r="B62" s="916">
        <v>934</v>
      </c>
      <c r="C62" s="917" t="s">
        <v>658</v>
      </c>
      <c r="D62" s="919" t="s">
        <v>659</v>
      </c>
    </row>
    <row r="63" spans="1:4" ht="54.75" customHeight="1" thickBot="1">
      <c r="A63" s="941"/>
      <c r="B63" s="916">
        <v>934</v>
      </c>
      <c r="C63" s="917" t="s">
        <v>653</v>
      </c>
      <c r="D63" s="919" t="s">
        <v>657</v>
      </c>
    </row>
    <row r="64" spans="1:4" ht="54.75" customHeight="1" thickBot="1">
      <c r="A64" s="941"/>
      <c r="B64" s="916">
        <v>934</v>
      </c>
      <c r="C64" s="917" t="s">
        <v>649</v>
      </c>
      <c r="D64" s="919" t="s">
        <v>660</v>
      </c>
    </row>
    <row r="65" spans="1:4" ht="54.75" customHeight="1" thickBot="1">
      <c r="A65" s="941"/>
      <c r="B65" s="916">
        <v>934</v>
      </c>
      <c r="C65" s="917" t="s">
        <v>1349</v>
      </c>
      <c r="D65" s="919" t="s">
        <v>1350</v>
      </c>
    </row>
    <row r="66" spans="1:4" ht="54.75" customHeight="1" thickBot="1">
      <c r="A66" s="941"/>
      <c r="B66" s="916">
        <v>934</v>
      </c>
      <c r="C66" s="917" t="s">
        <v>614</v>
      </c>
      <c r="D66" s="919" t="s">
        <v>413</v>
      </c>
    </row>
    <row r="67" spans="1:4" ht="54.75" customHeight="1" thickBot="1">
      <c r="A67" s="941"/>
      <c r="B67" s="916">
        <v>934</v>
      </c>
      <c r="C67" s="914" t="s">
        <v>622</v>
      </c>
      <c r="D67" s="915" t="s">
        <v>347</v>
      </c>
    </row>
    <row r="68" spans="1:4" ht="54" customHeight="1" thickBot="1">
      <c r="A68" s="941"/>
      <c r="B68" s="916">
        <v>934</v>
      </c>
      <c r="C68" s="914" t="s">
        <v>650</v>
      </c>
      <c r="D68" s="918" t="s">
        <v>654</v>
      </c>
    </row>
    <row r="69" spans="1:4" ht="26.25" thickBot="1">
      <c r="A69" s="941"/>
      <c r="B69" s="916">
        <v>934</v>
      </c>
      <c r="C69" s="914" t="s">
        <v>651</v>
      </c>
      <c r="D69" s="918" t="s">
        <v>655</v>
      </c>
    </row>
    <row r="70" spans="1:4" ht="39" thickBot="1">
      <c r="A70" s="941"/>
      <c r="B70" s="916">
        <v>934</v>
      </c>
      <c r="C70" s="914" t="s">
        <v>610</v>
      </c>
      <c r="D70" s="915" t="s">
        <v>387</v>
      </c>
    </row>
    <row r="71" spans="1:4" ht="39" thickBot="1">
      <c r="A71" s="941"/>
      <c r="B71" s="916">
        <v>934</v>
      </c>
      <c r="C71" s="914" t="s">
        <v>611</v>
      </c>
      <c r="D71" s="918" t="s">
        <v>79</v>
      </c>
    </row>
    <row r="72" spans="1:4" ht="13.5" thickBot="1">
      <c r="A72" s="944">
        <v>3</v>
      </c>
      <c r="B72" s="940" t="s">
        <v>6</v>
      </c>
      <c r="C72" s="940"/>
      <c r="D72" s="940"/>
    </row>
    <row r="73" spans="1:4" ht="51.75" thickBot="1">
      <c r="A73" s="945"/>
      <c r="B73" s="913">
        <v>936</v>
      </c>
      <c r="C73" s="917" t="s">
        <v>80</v>
      </c>
      <c r="D73" s="915" t="s">
        <v>562</v>
      </c>
    </row>
    <row r="74" spans="1:4" ht="26.25" thickBot="1">
      <c r="A74" s="945"/>
      <c r="B74" s="916">
        <v>936</v>
      </c>
      <c r="C74" s="917" t="s">
        <v>143</v>
      </c>
      <c r="D74" s="915" t="s">
        <v>144</v>
      </c>
    </row>
    <row r="75" spans="1:4" ht="26.25" thickBot="1">
      <c r="A75" s="945"/>
      <c r="B75" s="916">
        <v>936</v>
      </c>
      <c r="C75" s="917" t="s">
        <v>166</v>
      </c>
      <c r="D75" s="918" t="s">
        <v>167</v>
      </c>
    </row>
    <row r="76" spans="1:4" ht="45.75" customHeight="1" thickBot="1">
      <c r="A76" s="945"/>
      <c r="B76" s="916">
        <v>936</v>
      </c>
      <c r="C76" s="917" t="s">
        <v>168</v>
      </c>
      <c r="D76" s="918" t="s">
        <v>169</v>
      </c>
    </row>
    <row r="77" spans="1:4" ht="48.75" customHeight="1" thickBot="1">
      <c r="A77" s="945"/>
      <c r="B77" s="920">
        <v>936</v>
      </c>
      <c r="C77" s="921" t="s">
        <v>625</v>
      </c>
      <c r="D77" s="922" t="s">
        <v>492</v>
      </c>
    </row>
    <row r="78" spans="1:4" ht="47.25" customHeight="1" thickBot="1">
      <c r="A78" s="945"/>
      <c r="B78" s="920">
        <v>936</v>
      </c>
      <c r="C78" s="921" t="s">
        <v>626</v>
      </c>
      <c r="D78" s="922" t="s">
        <v>563</v>
      </c>
    </row>
    <row r="79" spans="1:4" ht="27" customHeight="1" thickBot="1">
      <c r="A79" s="945"/>
      <c r="B79" s="920">
        <v>936</v>
      </c>
      <c r="C79" s="921" t="s">
        <v>1126</v>
      </c>
      <c r="D79" s="922" t="s">
        <v>1351</v>
      </c>
    </row>
    <row r="80" spans="1:4" ht="39" thickBot="1">
      <c r="A80" s="945"/>
      <c r="B80" s="916">
        <v>936</v>
      </c>
      <c r="C80" s="917" t="s">
        <v>627</v>
      </c>
      <c r="D80" s="919" t="s">
        <v>1340</v>
      </c>
    </row>
    <row r="81" spans="1:4" ht="26.25" thickBot="1">
      <c r="A81" s="945"/>
      <c r="B81" s="916">
        <v>936</v>
      </c>
      <c r="C81" s="917" t="s">
        <v>623</v>
      </c>
      <c r="D81" s="919" t="s">
        <v>624</v>
      </c>
    </row>
    <row r="82" spans="1:4" ht="13.5" thickBot="1">
      <c r="A82" s="945"/>
      <c r="B82" s="916">
        <v>936</v>
      </c>
      <c r="C82" s="917" t="s">
        <v>607</v>
      </c>
      <c r="D82" s="919" t="s">
        <v>173</v>
      </c>
    </row>
    <row r="83" spans="1:4" ht="26.25" thickBot="1">
      <c r="A83" s="945"/>
      <c r="B83" s="916">
        <v>936</v>
      </c>
      <c r="C83" s="917" t="s">
        <v>628</v>
      </c>
      <c r="D83" s="919" t="s">
        <v>348</v>
      </c>
    </row>
    <row r="84" spans="1:4" ht="26.25" thickBot="1">
      <c r="A84" s="945"/>
      <c r="B84" s="920">
        <v>936</v>
      </c>
      <c r="C84" s="921" t="s">
        <v>608</v>
      </c>
      <c r="D84" s="922" t="s">
        <v>385</v>
      </c>
    </row>
    <row r="85" spans="1:4" ht="13.5" thickBot="1">
      <c r="A85" s="945"/>
      <c r="B85" s="916">
        <v>936</v>
      </c>
      <c r="C85" s="917" t="s">
        <v>1352</v>
      </c>
      <c r="D85" s="919" t="s">
        <v>134</v>
      </c>
    </row>
    <row r="86" spans="1:4" ht="51.75" thickBot="1">
      <c r="A86" s="945"/>
      <c r="B86" s="916">
        <v>936</v>
      </c>
      <c r="C86" s="917" t="s">
        <v>621</v>
      </c>
      <c r="D86" s="919" t="s">
        <v>1348</v>
      </c>
    </row>
    <row r="87" spans="1:4" ht="51.75" thickBot="1">
      <c r="A87" s="945"/>
      <c r="B87" s="916">
        <v>936</v>
      </c>
      <c r="C87" s="917" t="s">
        <v>748</v>
      </c>
      <c r="D87" s="919" t="s">
        <v>1353</v>
      </c>
    </row>
    <row r="88" spans="1:4" ht="64.5" thickBot="1">
      <c r="A88" s="945"/>
      <c r="B88" s="916">
        <v>936</v>
      </c>
      <c r="C88" s="917" t="s">
        <v>649</v>
      </c>
      <c r="D88" s="919" t="s">
        <v>660</v>
      </c>
    </row>
    <row r="89" spans="1:4" ht="26.25" thickBot="1">
      <c r="A89" s="945"/>
      <c r="B89" s="916">
        <v>936</v>
      </c>
      <c r="C89" s="917" t="s">
        <v>614</v>
      </c>
      <c r="D89" s="919" t="s">
        <v>413</v>
      </c>
    </row>
    <row r="90" spans="1:4" ht="77.25" thickBot="1">
      <c r="A90" s="945"/>
      <c r="B90" s="916">
        <v>936</v>
      </c>
      <c r="C90" s="917" t="s">
        <v>1354</v>
      </c>
      <c r="D90" s="919" t="s">
        <v>1355</v>
      </c>
    </row>
    <row r="91" spans="1:4" ht="26.25" thickBot="1">
      <c r="A91" s="945"/>
      <c r="B91" s="916">
        <v>936</v>
      </c>
      <c r="C91" s="914" t="s">
        <v>650</v>
      </c>
      <c r="D91" s="918" t="s">
        <v>654</v>
      </c>
    </row>
    <row r="92" spans="1:4" ht="26.25" thickBot="1">
      <c r="A92" s="945"/>
      <c r="B92" s="916">
        <v>936</v>
      </c>
      <c r="C92" s="914" t="s">
        <v>651</v>
      </c>
      <c r="D92" s="918" t="s">
        <v>655</v>
      </c>
    </row>
    <row r="93" spans="1:4" ht="58.5" customHeight="1" thickBot="1">
      <c r="A93" s="945"/>
      <c r="B93" s="916">
        <v>936</v>
      </c>
      <c r="C93" s="917" t="s">
        <v>610</v>
      </c>
      <c r="D93" s="919" t="s">
        <v>1356</v>
      </c>
    </row>
    <row r="94" spans="1:4" ht="45" customHeight="1" thickBot="1">
      <c r="A94" s="946"/>
      <c r="B94" s="916">
        <v>936</v>
      </c>
      <c r="C94" s="914" t="s">
        <v>611</v>
      </c>
      <c r="D94" s="918" t="s">
        <v>79</v>
      </c>
    </row>
    <row r="95" spans="1:4">
      <c r="A95" s="944">
        <v>4</v>
      </c>
      <c r="B95" s="940" t="s">
        <v>630</v>
      </c>
      <c r="C95" s="940"/>
      <c r="D95" s="940"/>
    </row>
    <row r="96" spans="1:4" ht="64.5" thickBot="1">
      <c r="A96" s="945"/>
      <c r="B96" s="916">
        <v>937</v>
      </c>
      <c r="C96" s="914" t="s">
        <v>464</v>
      </c>
      <c r="D96" s="915" t="s">
        <v>465</v>
      </c>
    </row>
    <row r="97" spans="1:4" ht="64.5" thickBot="1">
      <c r="A97" s="945"/>
      <c r="B97" s="916">
        <v>937</v>
      </c>
      <c r="C97" s="914" t="s">
        <v>132</v>
      </c>
      <c r="D97" s="915" t="s">
        <v>125</v>
      </c>
    </row>
    <row r="98" spans="1:4" ht="51.75" thickBot="1">
      <c r="A98" s="945"/>
      <c r="B98" s="916">
        <v>937</v>
      </c>
      <c r="C98" s="917" t="s">
        <v>80</v>
      </c>
      <c r="D98" s="918" t="s">
        <v>81</v>
      </c>
    </row>
    <row r="99" spans="1:4" ht="77.25" thickBot="1">
      <c r="A99" s="945"/>
      <c r="B99" s="916">
        <v>937</v>
      </c>
      <c r="C99" s="917" t="s">
        <v>47</v>
      </c>
      <c r="D99" s="918" t="s">
        <v>1357</v>
      </c>
    </row>
    <row r="100" spans="1:4" ht="51.75" thickBot="1">
      <c r="A100" s="945"/>
      <c r="B100" s="916">
        <v>937</v>
      </c>
      <c r="C100" s="917" t="s">
        <v>466</v>
      </c>
      <c r="D100" s="918" t="s">
        <v>1358</v>
      </c>
    </row>
    <row r="101" spans="1:4" ht="39" thickBot="1">
      <c r="A101" s="945"/>
      <c r="B101" s="916">
        <v>937</v>
      </c>
      <c r="C101" s="917" t="s">
        <v>133</v>
      </c>
      <c r="D101" s="918" t="s">
        <v>128</v>
      </c>
    </row>
    <row r="102" spans="1:4" ht="51.75" thickBot="1">
      <c r="A102" s="945"/>
      <c r="B102" s="916">
        <v>937</v>
      </c>
      <c r="C102" s="917" t="s">
        <v>959</v>
      </c>
      <c r="D102" s="918" t="s">
        <v>955</v>
      </c>
    </row>
    <row r="103" spans="1:4" ht="26.25" thickBot="1">
      <c r="A103" s="945"/>
      <c r="B103" s="916">
        <v>937</v>
      </c>
      <c r="C103" s="914" t="s">
        <v>166</v>
      </c>
      <c r="D103" s="918" t="s">
        <v>167</v>
      </c>
    </row>
    <row r="104" spans="1:4" ht="13.5" thickBot="1">
      <c r="A104" s="945"/>
      <c r="B104" s="916">
        <v>937</v>
      </c>
      <c r="C104" s="917" t="s">
        <v>168</v>
      </c>
      <c r="D104" s="918" t="s">
        <v>169</v>
      </c>
    </row>
    <row r="105" spans="1:4" ht="26.25" thickBot="1">
      <c r="A105" s="945"/>
      <c r="B105" s="916">
        <v>937</v>
      </c>
      <c r="C105" s="917" t="s">
        <v>1128</v>
      </c>
      <c r="D105" s="918" t="s">
        <v>1339</v>
      </c>
    </row>
    <row r="106" spans="1:4" ht="13.5" thickBot="1">
      <c r="A106" s="945"/>
      <c r="B106" s="916">
        <v>937</v>
      </c>
      <c r="C106" s="914" t="s">
        <v>607</v>
      </c>
      <c r="D106" s="918" t="s">
        <v>173</v>
      </c>
    </row>
    <row r="107" spans="1:4" ht="31.5" customHeight="1" thickBot="1">
      <c r="A107" s="945"/>
      <c r="B107" s="916">
        <v>937</v>
      </c>
      <c r="C107" s="914" t="s">
        <v>608</v>
      </c>
      <c r="D107" s="915" t="s">
        <v>385</v>
      </c>
    </row>
    <row r="108" spans="1:4" ht="20.25" customHeight="1" thickBot="1">
      <c r="A108" s="945"/>
      <c r="B108" s="916">
        <v>937</v>
      </c>
      <c r="C108" s="916" t="s">
        <v>649</v>
      </c>
      <c r="D108" s="915" t="s">
        <v>660</v>
      </c>
    </row>
    <row r="109" spans="1:4" ht="23.25" customHeight="1" thickBot="1">
      <c r="A109" s="945"/>
      <c r="B109" s="916">
        <v>937</v>
      </c>
      <c r="C109" s="916" t="s">
        <v>650</v>
      </c>
      <c r="D109" s="918" t="s">
        <v>654</v>
      </c>
    </row>
    <row r="110" spans="1:4" ht="25.5" customHeight="1" thickBot="1">
      <c r="A110" s="945"/>
      <c r="B110" s="916">
        <v>937</v>
      </c>
      <c r="C110" s="916" t="s">
        <v>651</v>
      </c>
      <c r="D110" s="918" t="s">
        <v>655</v>
      </c>
    </row>
    <row r="111" spans="1:4" ht="39" thickBot="1">
      <c r="A111" s="946"/>
      <c r="B111" s="916">
        <v>934</v>
      </c>
      <c r="C111" s="916" t="s">
        <v>611</v>
      </c>
      <c r="D111" s="918" t="s">
        <v>79</v>
      </c>
    </row>
    <row r="112" spans="1:4">
      <c r="B112" s="4"/>
      <c r="C112" s="4"/>
    </row>
    <row r="113" spans="2:3">
      <c r="B113" s="4"/>
      <c r="C113" s="4"/>
    </row>
    <row r="114" spans="2:3">
      <c r="B114" s="4"/>
      <c r="C114" s="4"/>
    </row>
    <row r="115" spans="2:3">
      <c r="B115" s="4"/>
      <c r="C115" s="4"/>
    </row>
    <row r="116" spans="2:3">
      <c r="B116" s="4"/>
      <c r="C116" s="4"/>
    </row>
    <row r="117" spans="2:3">
      <c r="B117" s="4"/>
      <c r="C117" s="4"/>
    </row>
  </sheetData>
  <mergeCells count="15">
    <mergeCell ref="B25:D25"/>
    <mergeCell ref="A72:A94"/>
    <mergeCell ref="B72:D72"/>
    <mergeCell ref="A95:A111"/>
    <mergeCell ref="B95:D95"/>
    <mergeCell ref="A25:A71"/>
    <mergeCell ref="A9:D9"/>
    <mergeCell ref="A10:A11"/>
    <mergeCell ref="B10:C10"/>
    <mergeCell ref="D10:D11"/>
    <mergeCell ref="A12:A24"/>
    <mergeCell ref="B12:D12"/>
    <mergeCell ref="B22:B23"/>
    <mergeCell ref="C22:C23"/>
    <mergeCell ref="D22:D23"/>
  </mergeCells>
  <phoneticPr fontId="16" type="noConversion"/>
  <pageMargins left="0.70866141732283472" right="0.70866141732283472" top="0.74803149606299213" bottom="0.74803149606299213" header="0.31496062992125984" footer="0.31496062992125984"/>
  <pageSetup paperSize="9" scale="90" orientation="portrait" r:id="rId1"/>
</worksheet>
</file>

<file path=xl/worksheets/sheet20.xml><?xml version="1.0" encoding="utf-8"?>
<worksheet xmlns="http://schemas.openxmlformats.org/spreadsheetml/2006/main" xmlns:r="http://schemas.openxmlformats.org/officeDocument/2006/relationships">
  <dimension ref="A1:I23"/>
  <sheetViews>
    <sheetView view="pageBreakPreview" zoomScale="60" workbookViewId="0">
      <selection activeCell="E21" sqref="E21:H21"/>
    </sheetView>
  </sheetViews>
  <sheetFormatPr defaultRowHeight="12.75"/>
  <sheetData>
    <row r="1" spans="1:9">
      <c r="F1" s="408"/>
      <c r="G1" s="408"/>
      <c r="H1" s="408"/>
      <c r="I1" s="408" t="s">
        <v>646</v>
      </c>
    </row>
    <row r="2" spans="1:9">
      <c r="F2" s="408"/>
      <c r="G2" s="408"/>
      <c r="H2" s="408"/>
      <c r="I2" s="408" t="s">
        <v>199</v>
      </c>
    </row>
    <row r="3" spans="1:9">
      <c r="F3" s="408"/>
      <c r="G3" s="408"/>
      <c r="H3" s="408"/>
      <c r="I3" s="408" t="s">
        <v>298</v>
      </c>
    </row>
    <row r="4" spans="1:9">
      <c r="F4" s="567"/>
      <c r="G4" s="567"/>
      <c r="H4" s="567"/>
      <c r="I4" s="567" t="s">
        <v>148</v>
      </c>
    </row>
    <row r="5" spans="1:9">
      <c r="F5" s="567"/>
      <c r="G5" s="567"/>
      <c r="H5" s="567"/>
      <c r="I5" s="567" t="s">
        <v>299</v>
      </c>
    </row>
    <row r="6" spans="1:9">
      <c r="F6" s="567"/>
      <c r="G6" s="567"/>
      <c r="H6" s="567"/>
      <c r="I6" s="852" t="s">
        <v>1172</v>
      </c>
    </row>
    <row r="7" spans="1:9" ht="12.75" customHeight="1">
      <c r="F7" s="1014" t="s">
        <v>968</v>
      </c>
      <c r="G7" s="1014"/>
      <c r="H7" s="1014"/>
      <c r="I7" s="1014"/>
    </row>
    <row r="9" spans="1:9" ht="38.25" customHeight="1">
      <c r="A9" s="1014" t="s">
        <v>1281</v>
      </c>
      <c r="B9" s="1014"/>
      <c r="C9" s="1014"/>
      <c r="D9" s="1014"/>
      <c r="E9" s="1014"/>
      <c r="F9" s="1014"/>
      <c r="G9" s="1014"/>
      <c r="H9" s="1014"/>
      <c r="I9" s="1014"/>
    </row>
    <row r="10" spans="1:9" ht="38.25" customHeight="1">
      <c r="A10" s="382"/>
      <c r="B10" s="382"/>
      <c r="C10" s="382"/>
      <c r="D10" s="382"/>
      <c r="E10" s="382"/>
      <c r="F10" s="382"/>
      <c r="G10" s="382"/>
      <c r="H10" s="382"/>
      <c r="I10" s="382"/>
    </row>
    <row r="11" spans="1:9" ht="38.25" customHeight="1">
      <c r="A11" s="1014" t="s">
        <v>1323</v>
      </c>
      <c r="B11" s="1014"/>
      <c r="C11" s="1014"/>
      <c r="D11" s="1014"/>
      <c r="E11" s="1014"/>
      <c r="F11" s="1014"/>
      <c r="G11" s="1014"/>
      <c r="H11" s="1014"/>
      <c r="I11" s="382"/>
    </row>
    <row r="12" spans="1:9">
      <c r="A12" s="4"/>
      <c r="B12" s="4"/>
      <c r="C12" s="4"/>
      <c r="D12" s="4"/>
      <c r="E12" s="4"/>
      <c r="F12" s="4"/>
      <c r="G12" s="4"/>
      <c r="H12" s="4"/>
      <c r="I12" s="4"/>
    </row>
    <row r="13" spans="1:9" ht="191.25">
      <c r="A13" s="562" t="s">
        <v>357</v>
      </c>
      <c r="B13" s="563" t="s">
        <v>635</v>
      </c>
      <c r="C13" s="563" t="s">
        <v>636</v>
      </c>
      <c r="D13" s="563" t="s">
        <v>637</v>
      </c>
      <c r="E13" s="563" t="s">
        <v>638</v>
      </c>
      <c r="F13" s="563" t="s">
        <v>639</v>
      </c>
      <c r="G13" s="563" t="s">
        <v>640</v>
      </c>
      <c r="H13" s="563" t="s">
        <v>641</v>
      </c>
      <c r="I13" s="4"/>
    </row>
    <row r="14" spans="1:9">
      <c r="A14" s="565">
        <v>1</v>
      </c>
      <c r="B14" s="565">
        <v>2</v>
      </c>
      <c r="C14" s="565">
        <v>3</v>
      </c>
      <c r="D14" s="565">
        <v>4</v>
      </c>
      <c r="E14" s="565">
        <v>5</v>
      </c>
      <c r="F14" s="565">
        <v>6</v>
      </c>
      <c r="G14" s="565">
        <v>7</v>
      </c>
      <c r="H14" s="565">
        <v>8</v>
      </c>
      <c r="I14" s="4"/>
    </row>
    <row r="15" spans="1:9">
      <c r="A15" s="463" t="s">
        <v>645</v>
      </c>
      <c r="B15" s="463" t="s">
        <v>645</v>
      </c>
      <c r="C15" s="463" t="s">
        <v>645</v>
      </c>
      <c r="D15" s="463" t="s">
        <v>645</v>
      </c>
      <c r="E15" s="463" t="s">
        <v>645</v>
      </c>
      <c r="F15" s="463" t="s">
        <v>645</v>
      </c>
      <c r="G15" s="463" t="s">
        <v>645</v>
      </c>
      <c r="H15" s="463" t="s">
        <v>645</v>
      </c>
      <c r="I15" s="4"/>
    </row>
    <row r="16" spans="1:9">
      <c r="A16" s="562" t="s">
        <v>602</v>
      </c>
      <c r="B16" s="463" t="s">
        <v>645</v>
      </c>
      <c r="C16" s="463" t="s">
        <v>645</v>
      </c>
      <c r="D16" s="463" t="s">
        <v>645</v>
      </c>
      <c r="E16" s="463" t="s">
        <v>645</v>
      </c>
      <c r="F16" s="463" t="s">
        <v>645</v>
      </c>
      <c r="G16" s="463" t="s">
        <v>645</v>
      </c>
      <c r="H16" s="463" t="s">
        <v>645</v>
      </c>
      <c r="I16" s="4"/>
    </row>
    <row r="17" spans="1:9">
      <c r="A17" s="4"/>
      <c r="B17" s="4"/>
      <c r="C17" s="4"/>
      <c r="D17" s="4"/>
      <c r="E17" s="4"/>
      <c r="F17" s="4"/>
      <c r="G17" s="4"/>
      <c r="H17" s="4"/>
      <c r="I17" s="4"/>
    </row>
    <row r="19" spans="1:9" ht="41.25" customHeight="1">
      <c r="A19" s="1015" t="s">
        <v>1324</v>
      </c>
      <c r="B19" s="1015"/>
      <c r="C19" s="1015"/>
      <c r="D19" s="1015"/>
      <c r="E19" s="1015"/>
      <c r="F19" s="1015"/>
      <c r="G19" s="1015"/>
      <c r="H19" s="1015"/>
    </row>
    <row r="20" spans="1:9" ht="51.75" customHeight="1">
      <c r="B20" s="1016" t="s">
        <v>642</v>
      </c>
      <c r="C20" s="1017"/>
      <c r="D20" s="1018"/>
      <c r="E20" s="1016" t="s">
        <v>1325</v>
      </c>
      <c r="F20" s="1017"/>
      <c r="G20" s="1017"/>
      <c r="H20" s="1018"/>
    </row>
    <row r="21" spans="1:9" ht="42.75" customHeight="1">
      <c r="B21" s="1016" t="s">
        <v>643</v>
      </c>
      <c r="C21" s="1017"/>
      <c r="D21" s="1018"/>
      <c r="E21" s="1019" t="s">
        <v>645</v>
      </c>
      <c r="F21" s="1020"/>
      <c r="G21" s="1020"/>
      <c r="H21" s="1021"/>
    </row>
    <row r="22" spans="1:9">
      <c r="B22" s="1016" t="s">
        <v>644</v>
      </c>
      <c r="C22" s="1017"/>
      <c r="D22" s="1018"/>
      <c r="E22" s="1019" t="s">
        <v>645</v>
      </c>
      <c r="F22" s="1020"/>
      <c r="G22" s="1020"/>
      <c r="H22" s="1021"/>
    </row>
    <row r="23" spans="1:9">
      <c r="B23" s="1019" t="s">
        <v>633</v>
      </c>
      <c r="C23" s="1020"/>
      <c r="D23" s="1021"/>
      <c r="E23" s="1019" t="s">
        <v>645</v>
      </c>
      <c r="F23" s="1020"/>
      <c r="G23" s="1020"/>
      <c r="H23" s="1021"/>
    </row>
  </sheetData>
  <mergeCells count="12">
    <mergeCell ref="B21:D21"/>
    <mergeCell ref="B22:D22"/>
    <mergeCell ref="B23:D23"/>
    <mergeCell ref="E21:H21"/>
    <mergeCell ref="E22:H22"/>
    <mergeCell ref="E23:H23"/>
    <mergeCell ref="F7:I7"/>
    <mergeCell ref="A9:I9"/>
    <mergeCell ref="A11:H11"/>
    <mergeCell ref="A19:H19"/>
    <mergeCell ref="B20:D20"/>
    <mergeCell ref="E20:H20"/>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dimension ref="A1:I24"/>
  <sheetViews>
    <sheetView view="pageBreakPreview" zoomScale="60" workbookViewId="0">
      <selection activeCell="AR42" sqref="AR42"/>
    </sheetView>
  </sheetViews>
  <sheetFormatPr defaultRowHeight="12.75"/>
  <cols>
    <col min="1" max="16384" width="9.140625" style="4"/>
  </cols>
  <sheetData>
    <row r="1" spans="1:9">
      <c r="F1" s="408"/>
      <c r="G1" s="408"/>
      <c r="H1" s="408"/>
      <c r="I1" s="408" t="s">
        <v>717</v>
      </c>
    </row>
    <row r="2" spans="1:9">
      <c r="F2" s="408"/>
      <c r="G2" s="408"/>
      <c r="H2" s="408"/>
      <c r="I2" s="408" t="s">
        <v>199</v>
      </c>
    </row>
    <row r="3" spans="1:9">
      <c r="F3" s="408"/>
      <c r="G3" s="408"/>
      <c r="H3" s="408"/>
      <c r="I3" s="408" t="s">
        <v>298</v>
      </c>
    </row>
    <row r="4" spans="1:9">
      <c r="F4" s="564"/>
      <c r="G4" s="564"/>
      <c r="H4" s="564"/>
      <c r="I4" s="564" t="s">
        <v>148</v>
      </c>
    </row>
    <row r="5" spans="1:9">
      <c r="F5" s="564"/>
      <c r="G5" s="564"/>
      <c r="H5" s="564"/>
      <c r="I5" s="564" t="s">
        <v>299</v>
      </c>
    </row>
    <row r="6" spans="1:9">
      <c r="F6" s="564"/>
      <c r="G6" s="564"/>
      <c r="H6" s="564"/>
      <c r="I6" s="852" t="s">
        <v>1172</v>
      </c>
    </row>
    <row r="7" spans="1:9">
      <c r="F7" s="1014" t="s">
        <v>969</v>
      </c>
      <c r="G7" s="1014"/>
      <c r="H7" s="1014"/>
      <c r="I7" s="1014"/>
    </row>
    <row r="9" spans="1:9" ht="24" customHeight="1">
      <c r="A9" s="1014" t="s">
        <v>1282</v>
      </c>
      <c r="B9" s="1014"/>
      <c r="C9" s="1014"/>
      <c r="D9" s="1014"/>
      <c r="E9" s="1014"/>
      <c r="F9" s="1014"/>
      <c r="G9" s="1014"/>
      <c r="H9" s="1014"/>
      <c r="I9" s="1014"/>
    </row>
    <row r="10" spans="1:9">
      <c r="A10" s="382"/>
      <c r="B10" s="382"/>
      <c r="C10" s="382"/>
      <c r="D10" s="382"/>
      <c r="E10" s="382"/>
      <c r="F10" s="382"/>
      <c r="G10" s="382"/>
      <c r="H10" s="382"/>
      <c r="I10" s="382"/>
    </row>
    <row r="11" spans="1:9" ht="30" customHeight="1">
      <c r="A11" s="1014" t="s">
        <v>1283</v>
      </c>
      <c r="B11" s="1014"/>
      <c r="C11" s="1014"/>
      <c r="D11" s="1014"/>
      <c r="E11" s="1014"/>
      <c r="F11" s="1014"/>
      <c r="G11" s="1014"/>
      <c r="H11" s="1014"/>
      <c r="I11" s="382"/>
    </row>
    <row r="13" spans="1:9" ht="191.25">
      <c r="A13" s="562" t="s">
        <v>357</v>
      </c>
      <c r="B13" s="563" t="s">
        <v>635</v>
      </c>
      <c r="C13" s="563" t="s">
        <v>636</v>
      </c>
      <c r="D13" s="563" t="s">
        <v>637</v>
      </c>
      <c r="E13" s="563" t="s">
        <v>638</v>
      </c>
      <c r="F13" s="563" t="s">
        <v>639</v>
      </c>
      <c r="G13" s="563" t="s">
        <v>640</v>
      </c>
      <c r="H13" s="563" t="s">
        <v>641</v>
      </c>
    </row>
    <row r="14" spans="1:9">
      <c r="A14" s="565">
        <v>1</v>
      </c>
      <c r="B14" s="565">
        <v>2</v>
      </c>
      <c r="C14" s="565">
        <v>3</v>
      </c>
      <c r="D14" s="565">
        <v>4</v>
      </c>
      <c r="E14" s="565">
        <v>5</v>
      </c>
      <c r="F14" s="565">
        <v>6</v>
      </c>
      <c r="G14" s="565">
        <v>7</v>
      </c>
      <c r="H14" s="565">
        <v>8</v>
      </c>
    </row>
    <row r="15" spans="1:9">
      <c r="A15" s="463" t="s">
        <v>645</v>
      </c>
      <c r="B15" s="463" t="s">
        <v>645</v>
      </c>
      <c r="C15" s="463" t="s">
        <v>645</v>
      </c>
      <c r="D15" s="463" t="s">
        <v>645</v>
      </c>
      <c r="E15" s="463" t="s">
        <v>645</v>
      </c>
      <c r="F15" s="463" t="s">
        <v>645</v>
      </c>
      <c r="G15" s="463" t="s">
        <v>645</v>
      </c>
      <c r="H15" s="463" t="s">
        <v>645</v>
      </c>
    </row>
    <row r="16" spans="1:9">
      <c r="A16" s="562" t="s">
        <v>602</v>
      </c>
      <c r="B16" s="463" t="s">
        <v>645</v>
      </c>
      <c r="C16" s="463" t="s">
        <v>645</v>
      </c>
      <c r="D16" s="463" t="s">
        <v>645</v>
      </c>
      <c r="E16" s="463" t="s">
        <v>645</v>
      </c>
      <c r="F16" s="463" t="s">
        <v>645</v>
      </c>
      <c r="G16" s="463" t="s">
        <v>645</v>
      </c>
      <c r="H16" s="463" t="s">
        <v>645</v>
      </c>
    </row>
    <row r="19" spans="1:8" ht="45" customHeight="1">
      <c r="A19" s="997" t="s">
        <v>1284</v>
      </c>
      <c r="B19" s="997"/>
      <c r="C19" s="997"/>
      <c r="D19" s="997"/>
      <c r="E19" s="997"/>
      <c r="F19" s="997"/>
      <c r="G19" s="997"/>
      <c r="H19" s="997"/>
    </row>
    <row r="20" spans="1:8" ht="13.5" customHeight="1">
      <c r="A20" s="382"/>
      <c r="B20" s="382"/>
      <c r="C20" s="382"/>
      <c r="D20" s="382"/>
      <c r="E20" s="382"/>
      <c r="F20" s="382"/>
      <c r="G20" s="382"/>
      <c r="H20" s="382"/>
    </row>
    <row r="21" spans="1:8" ht="59.25" customHeight="1">
      <c r="B21" s="1022" t="s">
        <v>642</v>
      </c>
      <c r="C21" s="1023"/>
      <c r="D21" s="1024"/>
      <c r="E21" s="1022" t="s">
        <v>1326</v>
      </c>
      <c r="F21" s="1023"/>
      <c r="G21" s="1023"/>
      <c r="H21" s="1024"/>
    </row>
    <row r="22" spans="1:8">
      <c r="B22" s="1022" t="s">
        <v>643</v>
      </c>
      <c r="C22" s="1023"/>
      <c r="D22" s="1024"/>
      <c r="E22" s="1025" t="s">
        <v>645</v>
      </c>
      <c r="F22" s="1026"/>
      <c r="G22" s="1026"/>
      <c r="H22" s="1027"/>
    </row>
    <row r="23" spans="1:8">
      <c r="B23" s="1022" t="s">
        <v>644</v>
      </c>
      <c r="C23" s="1023"/>
      <c r="D23" s="1024"/>
      <c r="E23" s="1025" t="s">
        <v>645</v>
      </c>
      <c r="F23" s="1026"/>
      <c r="G23" s="1026"/>
      <c r="H23" s="1027"/>
    </row>
    <row r="24" spans="1:8">
      <c r="B24" s="1025" t="s">
        <v>633</v>
      </c>
      <c r="C24" s="1026"/>
      <c r="D24" s="1027"/>
      <c r="E24" s="1025" t="s">
        <v>645</v>
      </c>
      <c r="F24" s="1026"/>
      <c r="G24" s="1026"/>
      <c r="H24" s="1027"/>
    </row>
  </sheetData>
  <mergeCells count="12">
    <mergeCell ref="F7:I7"/>
    <mergeCell ref="A9:I9"/>
    <mergeCell ref="A11:H11"/>
    <mergeCell ref="A19:H19"/>
    <mergeCell ref="B21:D21"/>
    <mergeCell ref="E21:H21"/>
    <mergeCell ref="B22:D22"/>
    <mergeCell ref="E22:H22"/>
    <mergeCell ref="B23:D23"/>
    <mergeCell ref="E23:H23"/>
    <mergeCell ref="B24:D24"/>
    <mergeCell ref="E24:H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enableFormatConditionsCalculation="0">
    <tabColor indexed="9"/>
  </sheetPr>
  <dimension ref="A1:H26"/>
  <sheetViews>
    <sheetView view="pageBreakPreview" workbookViewId="0">
      <selection activeCell="A9" sqref="A9:D9"/>
    </sheetView>
  </sheetViews>
  <sheetFormatPr defaultRowHeight="12.75"/>
  <cols>
    <col min="1" max="1" width="4.140625" style="4" customWidth="1"/>
    <col min="2" max="2" width="12.140625" style="4" customWidth="1"/>
    <col min="3" max="3" width="22.7109375" style="4" customWidth="1"/>
    <col min="4" max="4" width="49.140625" style="4" customWidth="1"/>
    <col min="5" max="16384" width="9.140625" style="4"/>
  </cols>
  <sheetData>
    <row r="1" spans="1:8">
      <c r="D1" s="30" t="s">
        <v>146</v>
      </c>
    </row>
    <row r="2" spans="1:8">
      <c r="C2" s="18"/>
      <c r="D2" s="30" t="s">
        <v>199</v>
      </c>
    </row>
    <row r="3" spans="1:8">
      <c r="C3" s="18"/>
      <c r="D3" s="30" t="s">
        <v>298</v>
      </c>
    </row>
    <row r="4" spans="1:8">
      <c r="B4" s="29"/>
      <c r="C4" s="36"/>
      <c r="D4" s="30" t="s">
        <v>148</v>
      </c>
    </row>
    <row r="5" spans="1:8">
      <c r="B5" s="37"/>
      <c r="C5" s="36"/>
      <c r="D5" s="30" t="s">
        <v>299</v>
      </c>
    </row>
    <row r="6" spans="1:8">
      <c r="B6" s="37"/>
      <c r="C6" s="36"/>
      <c r="D6" s="792" t="s">
        <v>1132</v>
      </c>
    </row>
    <row r="7" spans="1:8">
      <c r="B7" s="38"/>
      <c r="C7" s="39"/>
      <c r="D7" s="792" t="s">
        <v>1135</v>
      </c>
      <c r="H7" s="29"/>
    </row>
    <row r="8" spans="1:8" hidden="1">
      <c r="B8" s="38"/>
      <c r="C8" s="39"/>
      <c r="D8" s="22"/>
      <c r="H8" s="29"/>
    </row>
    <row r="9" spans="1:8" ht="27.75" customHeight="1">
      <c r="A9" s="948" t="s">
        <v>460</v>
      </c>
      <c r="B9" s="948"/>
      <c r="C9" s="948"/>
      <c r="D9" s="948"/>
      <c r="H9" s="29"/>
    </row>
    <row r="10" spans="1:8" ht="12.75" customHeight="1">
      <c r="B10" s="40"/>
      <c r="C10" s="41"/>
      <c r="D10" s="42"/>
    </row>
    <row r="11" spans="1:8" ht="33" customHeight="1">
      <c r="A11" s="951" t="s">
        <v>357</v>
      </c>
      <c r="B11" s="952" t="s">
        <v>358</v>
      </c>
      <c r="C11" s="952"/>
      <c r="D11" s="953" t="s">
        <v>204</v>
      </c>
    </row>
    <row r="12" spans="1:8" ht="84.75" customHeight="1">
      <c r="A12" s="951"/>
      <c r="B12" s="43" t="s">
        <v>149</v>
      </c>
      <c r="C12" s="43" t="s">
        <v>147</v>
      </c>
      <c r="D12" s="953"/>
    </row>
    <row r="13" spans="1:8" s="1" customFormat="1" ht="27.75" customHeight="1">
      <c r="A13" s="949">
        <v>1</v>
      </c>
      <c r="B13" s="954" t="s">
        <v>164</v>
      </c>
      <c r="C13" s="954"/>
      <c r="D13" s="954"/>
    </row>
    <row r="14" spans="1:8" s="1" customFormat="1" ht="38.25">
      <c r="A14" s="949"/>
      <c r="B14" s="33">
        <v>931</v>
      </c>
      <c r="C14" s="63" t="s">
        <v>349</v>
      </c>
      <c r="D14" s="45" t="s">
        <v>7</v>
      </c>
      <c r="E14" s="66"/>
    </row>
    <row r="15" spans="1:8" s="1" customFormat="1" ht="38.25">
      <c r="A15" s="949"/>
      <c r="B15" s="33">
        <v>931</v>
      </c>
      <c r="C15" s="33" t="s">
        <v>350</v>
      </c>
      <c r="D15" s="45" t="s">
        <v>8</v>
      </c>
    </row>
    <row r="16" spans="1:8" s="1" customFormat="1" ht="31.5" customHeight="1">
      <c r="A16" s="950"/>
      <c r="B16" s="33">
        <v>931</v>
      </c>
      <c r="C16" s="63" t="s">
        <v>163</v>
      </c>
      <c r="D16" s="45" t="s">
        <v>160</v>
      </c>
    </row>
    <row r="17" spans="1:4" s="1" customFormat="1" ht="33" customHeight="1">
      <c r="A17" s="950"/>
      <c r="B17" s="33">
        <v>931</v>
      </c>
      <c r="C17" s="63" t="s">
        <v>162</v>
      </c>
      <c r="D17" s="45" t="s">
        <v>161</v>
      </c>
    </row>
    <row r="18" spans="1:4" s="1" customFormat="1">
      <c r="A18" s="950"/>
      <c r="B18" s="33">
        <v>931</v>
      </c>
      <c r="C18" s="63" t="s">
        <v>469</v>
      </c>
      <c r="D18" s="45" t="s">
        <v>472</v>
      </c>
    </row>
    <row r="19" spans="1:4" s="1" customFormat="1" ht="25.5">
      <c r="A19" s="950"/>
      <c r="B19" s="33">
        <v>931</v>
      </c>
      <c r="C19" s="63" t="s">
        <v>489</v>
      </c>
      <c r="D19" s="45" t="s">
        <v>470</v>
      </c>
    </row>
    <row r="20" spans="1:4" s="1" customFormat="1">
      <c r="A20" s="950"/>
      <c r="B20" s="33">
        <v>931</v>
      </c>
      <c r="C20" s="63" t="s">
        <v>471</v>
      </c>
      <c r="D20" s="45" t="s">
        <v>86</v>
      </c>
    </row>
    <row r="21" spans="1:4" s="1" customFormat="1" ht="25.5">
      <c r="A21" s="950"/>
      <c r="B21" s="33">
        <v>931</v>
      </c>
      <c r="C21" s="63" t="s">
        <v>473</v>
      </c>
      <c r="D21" s="45" t="s">
        <v>474</v>
      </c>
    </row>
    <row r="22" spans="1:4" s="1" customFormat="1" ht="38.25">
      <c r="A22" s="950"/>
      <c r="B22" s="33">
        <v>931</v>
      </c>
      <c r="C22" s="33" t="s">
        <v>9</v>
      </c>
      <c r="D22" s="25" t="s">
        <v>384</v>
      </c>
    </row>
    <row r="23" spans="1:4" s="1" customFormat="1">
      <c r="A23" s="947"/>
      <c r="B23" s="27"/>
      <c r="C23" s="27"/>
      <c r="D23" s="27"/>
    </row>
    <row r="24" spans="1:4" s="1" customFormat="1">
      <c r="A24" s="947"/>
      <c r="B24" s="27"/>
      <c r="C24" s="27"/>
      <c r="D24" s="27"/>
    </row>
    <row r="25" spans="1:4" s="1" customFormat="1">
      <c r="A25" s="947"/>
      <c r="B25" s="27"/>
      <c r="C25" s="27"/>
      <c r="D25" s="27"/>
    </row>
    <row r="26" spans="1:4" s="1" customFormat="1"/>
  </sheetData>
  <mergeCells count="7">
    <mergeCell ref="A23:A25"/>
    <mergeCell ref="A9:D9"/>
    <mergeCell ref="A13:A22"/>
    <mergeCell ref="A11:A12"/>
    <mergeCell ref="B11:C11"/>
    <mergeCell ref="D11:D12"/>
    <mergeCell ref="B13:D13"/>
  </mergeCells>
  <phoneticPr fontId="16" type="noConversion"/>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enableFormatConditionsCalculation="0">
    <tabColor indexed="9"/>
  </sheetPr>
  <dimension ref="A1:N75"/>
  <sheetViews>
    <sheetView view="pageBreakPreview" topLeftCell="A25" zoomScale="89" zoomScaleSheetLayoutView="89" workbookViewId="0">
      <selection activeCell="D44" sqref="D44"/>
    </sheetView>
  </sheetViews>
  <sheetFormatPr defaultRowHeight="12"/>
  <cols>
    <col min="1" max="1" width="6.5703125" style="255" customWidth="1"/>
    <col min="2" max="2" width="27.42578125" style="296" customWidth="1"/>
    <col min="3" max="3" width="68.140625" style="258" customWidth="1"/>
    <col min="4" max="4" width="18.85546875" style="259" customWidth="1"/>
    <col min="5" max="5" width="14.85546875" style="260" hidden="1" customWidth="1"/>
    <col min="6" max="6" width="0.42578125" style="297" hidden="1" customWidth="1"/>
    <col min="7" max="7" width="9.28515625" style="255" bestFit="1" customWidth="1"/>
    <col min="8" max="8" width="14.42578125" style="255" bestFit="1" customWidth="1"/>
    <col min="9" max="9" width="10.5703125" style="255" bestFit="1" customWidth="1"/>
    <col min="10" max="13" width="9.140625" style="255"/>
    <col min="14" max="14" width="9.140625" style="257"/>
    <col min="15" max="16384" width="9.140625" style="255"/>
  </cols>
  <sheetData>
    <row r="1" spans="1:14" ht="12.75">
      <c r="A1" s="430"/>
      <c r="B1" s="431"/>
      <c r="C1" s="432"/>
      <c r="D1" s="967" t="s">
        <v>479</v>
      </c>
      <c r="E1" s="967"/>
      <c r="F1" s="967"/>
    </row>
    <row r="2" spans="1:14" ht="12.75">
      <c r="A2" s="430"/>
      <c r="B2" s="431"/>
      <c r="C2" s="967" t="s">
        <v>199</v>
      </c>
      <c r="D2" s="967"/>
      <c r="E2" s="967"/>
      <c r="F2" s="967"/>
    </row>
    <row r="3" spans="1:14" ht="12.75">
      <c r="A3" s="430"/>
      <c r="B3" s="431"/>
      <c r="C3" s="967" t="s">
        <v>298</v>
      </c>
      <c r="D3" s="967"/>
      <c r="E3" s="967"/>
      <c r="F3" s="967"/>
    </row>
    <row r="4" spans="1:14" ht="12.75">
      <c r="A4" s="430"/>
      <c r="B4" s="431"/>
      <c r="C4" s="967" t="s">
        <v>148</v>
      </c>
      <c r="D4" s="967"/>
      <c r="E4" s="967"/>
      <c r="F4" s="967"/>
    </row>
    <row r="5" spans="1:14" ht="12.75">
      <c r="A5" s="430"/>
      <c r="B5" s="431"/>
      <c r="C5" s="967" t="s">
        <v>1132</v>
      </c>
      <c r="D5" s="967"/>
      <c r="E5" s="967"/>
      <c r="F5" s="967"/>
    </row>
    <row r="6" spans="1:14" ht="12.75">
      <c r="A6" s="430"/>
      <c r="B6" s="431"/>
      <c r="C6" s="967" t="s">
        <v>1136</v>
      </c>
      <c r="D6" s="967"/>
      <c r="E6" s="967"/>
      <c r="F6" s="967"/>
    </row>
    <row r="7" spans="1:14">
      <c r="A7" s="430"/>
      <c r="B7" s="431"/>
      <c r="C7" s="431"/>
      <c r="D7" s="433"/>
      <c r="E7" s="434"/>
      <c r="F7" s="435"/>
    </row>
    <row r="8" spans="1:14">
      <c r="A8" s="430"/>
      <c r="B8" s="968" t="s">
        <v>1137</v>
      </c>
      <c r="C8" s="968"/>
      <c r="D8" s="968"/>
      <c r="E8" s="436"/>
      <c r="F8" s="437"/>
    </row>
    <row r="9" spans="1:14">
      <c r="A9" s="430"/>
      <c r="B9" s="431"/>
      <c r="C9" s="431"/>
      <c r="D9" s="547" t="s">
        <v>150</v>
      </c>
      <c r="E9" s="434"/>
      <c r="F9" s="435"/>
    </row>
    <row r="10" spans="1:14" ht="24" customHeight="1">
      <c r="A10" s="444" t="s">
        <v>357</v>
      </c>
      <c r="B10" s="284" t="s">
        <v>104</v>
      </c>
      <c r="C10" s="284" t="s">
        <v>204</v>
      </c>
      <c r="D10" s="784" t="s">
        <v>1138</v>
      </c>
      <c r="E10" s="287" t="s">
        <v>131</v>
      </c>
      <c r="F10" s="287" t="s">
        <v>130</v>
      </c>
    </row>
    <row r="11" spans="1:14" s="263" customFormat="1" ht="12" customHeight="1">
      <c r="A11" s="444"/>
      <c r="B11" s="965" t="s">
        <v>105</v>
      </c>
      <c r="C11" s="966"/>
      <c r="D11" s="286">
        <f>D12+D18+D23+D28+D30+D34+D39+D43+D60</f>
        <v>333518.30000000005</v>
      </c>
      <c r="E11" s="287" t="e">
        <f>E12+E23+E28+E30+E34+E37+E39+E43+E60+E18</f>
        <v>#REF!</v>
      </c>
      <c r="F11" s="287">
        <f>F12+F23+F28+F30+F34+F37+F39+F43+F60+F18</f>
        <v>267256.52469999995</v>
      </c>
      <c r="N11" s="264"/>
    </row>
    <row r="12" spans="1:14" s="263" customFormat="1">
      <c r="A12" s="444">
        <v>1</v>
      </c>
      <c r="B12" s="284" t="s">
        <v>106</v>
      </c>
      <c r="C12" s="285" t="s">
        <v>107</v>
      </c>
      <c r="D12" s="286">
        <f>D13</f>
        <v>290395.7</v>
      </c>
      <c r="E12" s="287">
        <f>E13</f>
        <v>227167.1</v>
      </c>
      <c r="F12" s="287">
        <f>F13</f>
        <v>237167.1</v>
      </c>
      <c r="N12" s="264"/>
    </row>
    <row r="13" spans="1:14" ht="12" customHeight="1">
      <c r="A13" s="959"/>
      <c r="B13" s="438" t="s">
        <v>108</v>
      </c>
      <c r="C13" s="439" t="s">
        <v>109</v>
      </c>
      <c r="D13" s="440">
        <f>D14+D15+D16+D17</f>
        <v>290395.7</v>
      </c>
      <c r="E13" s="441">
        <f>E14+E15+E16+E17</f>
        <v>227167.1</v>
      </c>
      <c r="F13" s="441">
        <f>SUM(F14:F17)</f>
        <v>237167.1</v>
      </c>
    </row>
    <row r="14" spans="1:14" ht="36">
      <c r="A14" s="960"/>
      <c r="B14" s="438" t="s">
        <v>364</v>
      </c>
      <c r="C14" s="439" t="s">
        <v>1141</v>
      </c>
      <c r="D14" s="440">
        <v>287520.8</v>
      </c>
      <c r="E14" s="441">
        <v>226278.7</v>
      </c>
      <c r="F14" s="441">
        <v>236278.7</v>
      </c>
      <c r="G14" s="268"/>
    </row>
    <row r="15" spans="1:14" s="263" customFormat="1" ht="60">
      <c r="A15" s="960"/>
      <c r="B15" s="438" t="s">
        <v>365</v>
      </c>
      <c r="C15" s="442" t="s">
        <v>312</v>
      </c>
      <c r="D15" s="440">
        <v>987.3</v>
      </c>
      <c r="E15" s="441">
        <v>192.1</v>
      </c>
      <c r="F15" s="441">
        <v>192.1</v>
      </c>
      <c r="G15" s="271"/>
      <c r="N15" s="264"/>
    </row>
    <row r="16" spans="1:14" ht="27" customHeight="1">
      <c r="A16" s="960"/>
      <c r="B16" s="438" t="s">
        <v>366</v>
      </c>
      <c r="C16" s="439" t="s">
        <v>363</v>
      </c>
      <c r="D16" s="440">
        <v>1860.4</v>
      </c>
      <c r="E16" s="441">
        <v>576.29999999999995</v>
      </c>
      <c r="F16" s="441">
        <v>576.29999999999995</v>
      </c>
      <c r="G16" s="268"/>
    </row>
    <row r="17" spans="1:14" ht="54" customHeight="1">
      <c r="A17" s="961"/>
      <c r="B17" s="438" t="s">
        <v>367</v>
      </c>
      <c r="C17" s="442" t="s">
        <v>16</v>
      </c>
      <c r="D17" s="440">
        <v>27.2</v>
      </c>
      <c r="E17" s="441">
        <v>120</v>
      </c>
      <c r="F17" s="441">
        <v>120</v>
      </c>
      <c r="G17" s="268"/>
      <c r="N17" s="272"/>
    </row>
    <row r="18" spans="1:14" ht="24">
      <c r="A18" s="443">
        <v>2</v>
      </c>
      <c r="B18" s="444" t="s">
        <v>351</v>
      </c>
      <c r="C18" s="445" t="s">
        <v>118</v>
      </c>
      <c r="D18" s="286">
        <f>SUM(D19:D22)</f>
        <v>13573.5</v>
      </c>
      <c r="E18" s="287">
        <f>E19+E20+E21+E22</f>
        <v>11480.603700000001</v>
      </c>
      <c r="F18" s="287">
        <f>F19+F20+F21+F22</f>
        <v>11480.603700000001</v>
      </c>
    </row>
    <row r="19" spans="1:14" ht="36.75" customHeight="1">
      <c r="A19" s="962"/>
      <c r="B19" s="446" t="s">
        <v>352</v>
      </c>
      <c r="C19" s="447" t="s">
        <v>18</v>
      </c>
      <c r="D19" s="448">
        <v>6240</v>
      </c>
      <c r="E19" s="448">
        <f>9689.7*31.05%</f>
        <v>3008.6518500000002</v>
      </c>
      <c r="F19" s="448">
        <f>9689.7*31.05%</f>
        <v>3008.6518500000002</v>
      </c>
    </row>
    <row r="20" spans="1:14" s="263" customFormat="1" ht="48">
      <c r="A20" s="963"/>
      <c r="B20" s="446" t="s">
        <v>353</v>
      </c>
      <c r="C20" s="447" t="s">
        <v>20</v>
      </c>
      <c r="D20" s="448">
        <v>35.200000000000003</v>
      </c>
      <c r="E20" s="448">
        <f>9689.7*31.05%</f>
        <v>3008.6518500000002</v>
      </c>
      <c r="F20" s="448">
        <f>9689.7*31.05%</f>
        <v>3008.6518500000002</v>
      </c>
      <c r="N20" s="264"/>
    </row>
    <row r="21" spans="1:14" ht="36">
      <c r="A21" s="963"/>
      <c r="B21" s="446" t="s">
        <v>354</v>
      </c>
      <c r="C21" s="447" t="s">
        <v>22</v>
      </c>
      <c r="D21" s="448">
        <v>8187.2</v>
      </c>
      <c r="E21" s="449">
        <v>5359.7</v>
      </c>
      <c r="F21" s="449">
        <v>5359.7</v>
      </c>
    </row>
    <row r="22" spans="1:14" ht="36">
      <c r="A22" s="964"/>
      <c r="B22" s="446" t="s">
        <v>355</v>
      </c>
      <c r="C22" s="447" t="s">
        <v>24</v>
      </c>
      <c r="D22" s="448">
        <v>-888.9</v>
      </c>
      <c r="E22" s="449">
        <v>103.6</v>
      </c>
      <c r="F22" s="449">
        <v>103.6</v>
      </c>
    </row>
    <row r="23" spans="1:14" ht="21.75" customHeight="1">
      <c r="A23" s="444">
        <v>3</v>
      </c>
      <c r="B23" s="450" t="s">
        <v>110</v>
      </c>
      <c r="C23" s="285" t="s">
        <v>314</v>
      </c>
      <c r="D23" s="286">
        <f>D26+D27+D24+D25</f>
        <v>11608.9</v>
      </c>
      <c r="E23" s="286">
        <f>E26+E27+E24</f>
        <v>554</v>
      </c>
      <c r="F23" s="286">
        <f>F26+F27+F24</f>
        <v>654</v>
      </c>
    </row>
    <row r="24" spans="1:14">
      <c r="A24" s="955"/>
      <c r="B24" s="476" t="s">
        <v>529</v>
      </c>
      <c r="C24" s="439" t="s">
        <v>561</v>
      </c>
      <c r="D24" s="440">
        <v>10553.4</v>
      </c>
      <c r="E24" s="287"/>
      <c r="F24" s="287"/>
    </row>
    <row r="25" spans="1:14">
      <c r="A25" s="956"/>
      <c r="B25" s="438" t="s">
        <v>1048</v>
      </c>
      <c r="C25" s="439" t="s">
        <v>26</v>
      </c>
      <c r="D25" s="440"/>
      <c r="E25" s="287"/>
      <c r="F25" s="287"/>
    </row>
    <row r="26" spans="1:14" ht="17.25" customHeight="1">
      <c r="A26" s="956"/>
      <c r="B26" s="477" t="s">
        <v>315</v>
      </c>
      <c r="C26" s="439" t="s">
        <v>30</v>
      </c>
      <c r="D26" s="440">
        <v>717.1</v>
      </c>
      <c r="E26" s="441">
        <v>143.5</v>
      </c>
      <c r="F26" s="441">
        <v>143.5</v>
      </c>
      <c r="L26" s="712"/>
    </row>
    <row r="27" spans="1:14" s="263" customFormat="1" ht="24">
      <c r="A27" s="957"/>
      <c r="B27" s="438" t="s">
        <v>56</v>
      </c>
      <c r="C27" s="453" t="s">
        <v>55</v>
      </c>
      <c r="D27" s="440">
        <v>338.4</v>
      </c>
      <c r="E27" s="441">
        <v>410.5</v>
      </c>
      <c r="F27" s="441">
        <v>510.5</v>
      </c>
      <c r="L27" s="712"/>
      <c r="N27" s="264"/>
    </row>
    <row r="28" spans="1:14" ht="12" customHeight="1">
      <c r="A28" s="444">
        <v>4</v>
      </c>
      <c r="B28" s="284" t="s">
        <v>316</v>
      </c>
      <c r="C28" s="285" t="s">
        <v>317</v>
      </c>
      <c r="D28" s="286">
        <f>D29</f>
        <v>4149.8</v>
      </c>
      <c r="E28" s="287">
        <f>E29</f>
        <v>3317.3</v>
      </c>
      <c r="F28" s="287">
        <f>F29</f>
        <v>2317.3000000000002</v>
      </c>
      <c r="L28" s="712"/>
    </row>
    <row r="29" spans="1:14" ht="24">
      <c r="A29" s="773"/>
      <c r="B29" s="438" t="s">
        <v>287</v>
      </c>
      <c r="C29" s="439" t="s">
        <v>33</v>
      </c>
      <c r="D29" s="440">
        <v>4149.8</v>
      </c>
      <c r="E29" s="441">
        <v>3317.3</v>
      </c>
      <c r="F29" s="441">
        <v>2317.3000000000002</v>
      </c>
      <c r="L29" s="712"/>
    </row>
    <row r="30" spans="1:14" s="263" customFormat="1" ht="24">
      <c r="A30" s="772">
        <v>5</v>
      </c>
      <c r="B30" s="284" t="s">
        <v>318</v>
      </c>
      <c r="C30" s="285" t="s">
        <v>319</v>
      </c>
      <c r="D30" s="286">
        <f>D31+D32+D33</f>
        <v>8213</v>
      </c>
      <c r="E30" s="287">
        <f>E31+E33+E32</f>
        <v>7620.1210000000001</v>
      </c>
      <c r="F30" s="287">
        <f>F31+F33+F32</f>
        <v>6763.4210000000003</v>
      </c>
      <c r="L30" s="712"/>
      <c r="N30" s="264"/>
    </row>
    <row r="31" spans="1:14" ht="63" customHeight="1">
      <c r="A31" s="959"/>
      <c r="B31" s="451" t="s">
        <v>552</v>
      </c>
      <c r="C31" s="281" t="s">
        <v>126</v>
      </c>
      <c r="D31" s="440">
        <v>4213</v>
      </c>
      <c r="E31" s="441">
        <v>2389.721</v>
      </c>
      <c r="F31" s="441">
        <f>2100.5+289.221</f>
        <v>2389.721</v>
      </c>
      <c r="L31" s="712"/>
    </row>
    <row r="32" spans="1:14" ht="48" hidden="1" customHeight="1">
      <c r="A32" s="960"/>
      <c r="B32" s="451" t="s">
        <v>124</v>
      </c>
      <c r="C32" s="281" t="s">
        <v>125</v>
      </c>
      <c r="D32" s="440"/>
      <c r="E32" s="441">
        <v>917.3</v>
      </c>
      <c r="F32" s="441">
        <v>917.3</v>
      </c>
      <c r="L32" s="712"/>
    </row>
    <row r="33" spans="1:14" s="263" customFormat="1" ht="44.25" customHeight="1">
      <c r="A33" s="961"/>
      <c r="B33" s="451" t="s">
        <v>320</v>
      </c>
      <c r="C33" s="281" t="s">
        <v>81</v>
      </c>
      <c r="D33" s="440">
        <v>4000</v>
      </c>
      <c r="E33" s="441">
        <v>4313.1000000000004</v>
      </c>
      <c r="F33" s="441">
        <v>3456.4</v>
      </c>
      <c r="L33" s="712"/>
      <c r="N33" s="264"/>
    </row>
    <row r="34" spans="1:14" s="263" customFormat="1" ht="12.75">
      <c r="A34" s="444">
        <v>6</v>
      </c>
      <c r="B34" s="284" t="s">
        <v>269</v>
      </c>
      <c r="C34" s="285" t="s">
        <v>321</v>
      </c>
      <c r="D34" s="286">
        <f>D35+D36</f>
        <v>224.9</v>
      </c>
      <c r="E34" s="286">
        <f t="shared" ref="E34:F34" si="0">E35+E36</f>
        <v>722.40000000000009</v>
      </c>
      <c r="F34" s="286">
        <f t="shared" si="0"/>
        <v>722.40000000000009</v>
      </c>
      <c r="L34" s="712"/>
      <c r="N34" s="264"/>
    </row>
    <row r="35" spans="1:14" s="263" customFormat="1" ht="24">
      <c r="A35" s="956"/>
      <c r="B35" s="451" t="s">
        <v>370</v>
      </c>
      <c r="C35" s="439" t="s">
        <v>368</v>
      </c>
      <c r="D35" s="440">
        <v>129.9</v>
      </c>
      <c r="E35" s="440">
        <v>324.8</v>
      </c>
      <c r="F35" s="440">
        <v>324.8</v>
      </c>
      <c r="H35" s="612"/>
      <c r="I35" s="255"/>
      <c r="L35" s="712"/>
      <c r="N35" s="264"/>
    </row>
    <row r="36" spans="1:14" s="263" customFormat="1" ht="12.75">
      <c r="A36" s="957"/>
      <c r="B36" s="451" t="s">
        <v>371</v>
      </c>
      <c r="C36" s="401" t="s">
        <v>369</v>
      </c>
      <c r="D36" s="454">
        <v>95</v>
      </c>
      <c r="E36" s="454">
        <v>397.6</v>
      </c>
      <c r="F36" s="454">
        <v>397.6</v>
      </c>
      <c r="I36" s="255"/>
      <c r="L36" s="712"/>
      <c r="N36" s="264"/>
    </row>
    <row r="37" spans="1:14" ht="24" hidden="1">
      <c r="A37" s="774">
        <v>7</v>
      </c>
      <c r="B37" s="284" t="s">
        <v>322</v>
      </c>
      <c r="C37" s="285" t="s">
        <v>323</v>
      </c>
      <c r="D37" s="286">
        <v>0</v>
      </c>
      <c r="E37" s="287">
        <v>0</v>
      </c>
      <c r="F37" s="287">
        <f>F38</f>
        <v>0</v>
      </c>
      <c r="I37" s="263"/>
      <c r="L37" s="712"/>
    </row>
    <row r="38" spans="1:14" ht="24" hidden="1">
      <c r="A38" s="773"/>
      <c r="B38" s="438" t="s">
        <v>324</v>
      </c>
      <c r="C38" s="439" t="s">
        <v>165</v>
      </c>
      <c r="D38" s="440"/>
      <c r="E38" s="441"/>
      <c r="F38" s="441">
        <v>0</v>
      </c>
      <c r="I38" s="263"/>
      <c r="L38" s="712"/>
    </row>
    <row r="39" spans="1:14" s="263" customFormat="1" ht="12.75">
      <c r="A39" s="772">
        <v>7</v>
      </c>
      <c r="B39" s="284" t="s">
        <v>325</v>
      </c>
      <c r="C39" s="285" t="s">
        <v>326</v>
      </c>
      <c r="D39" s="286">
        <f>D40+D41+D42</f>
        <v>1450</v>
      </c>
      <c r="E39" s="287">
        <f>E40+E42+E41</f>
        <v>5753.8</v>
      </c>
      <c r="F39" s="287">
        <f>F40+F42+F41</f>
        <v>5753.8</v>
      </c>
      <c r="I39" s="255"/>
      <c r="L39" s="712"/>
      <c r="N39" s="264"/>
    </row>
    <row r="40" spans="1:14" s="263" customFormat="1" ht="48">
      <c r="A40" s="955"/>
      <c r="B40" s="451" t="s">
        <v>372</v>
      </c>
      <c r="C40" s="439" t="s">
        <v>327</v>
      </c>
      <c r="D40" s="440">
        <v>1000</v>
      </c>
      <c r="E40" s="441">
        <v>4458.1000000000004</v>
      </c>
      <c r="F40" s="441">
        <v>4458.1000000000004</v>
      </c>
      <c r="I40" s="255"/>
      <c r="L40" s="712"/>
      <c r="N40" s="264"/>
    </row>
    <row r="41" spans="1:14" ht="24">
      <c r="A41" s="956"/>
      <c r="B41" s="451" t="s">
        <v>553</v>
      </c>
      <c r="C41" s="281" t="s">
        <v>127</v>
      </c>
      <c r="D41" s="440">
        <v>450</v>
      </c>
      <c r="E41" s="441">
        <v>263.3</v>
      </c>
      <c r="F41" s="441">
        <v>263.3</v>
      </c>
      <c r="L41" s="712"/>
    </row>
    <row r="42" spans="1:14" ht="24" hidden="1">
      <c r="A42" s="957"/>
      <c r="B42" s="451" t="s">
        <v>129</v>
      </c>
      <c r="C42" s="281" t="s">
        <v>128</v>
      </c>
      <c r="D42" s="440"/>
      <c r="E42" s="441">
        <v>1032.4000000000001</v>
      </c>
      <c r="F42" s="441">
        <v>1032.4000000000001</v>
      </c>
      <c r="L42" s="712"/>
    </row>
    <row r="43" spans="1:14" ht="12.75">
      <c r="A43" s="775">
        <v>8</v>
      </c>
      <c r="B43" s="873" t="s">
        <v>328</v>
      </c>
      <c r="C43" s="874" t="s">
        <v>329</v>
      </c>
      <c r="D43" s="286">
        <f>SUM(D44:D59)</f>
        <v>3389.5</v>
      </c>
      <c r="E43" s="287" t="e">
        <f>#REF!+E44+E45+E46+E47+E50+E51</f>
        <v>#REF!</v>
      </c>
      <c r="F43" s="287">
        <f>SUM(F44:F51)</f>
        <v>1018.3</v>
      </c>
      <c r="L43" s="712"/>
    </row>
    <row r="44" spans="1:14" ht="37.5" customHeight="1">
      <c r="A44" s="958"/>
      <c r="B44" s="875" t="s">
        <v>1085</v>
      </c>
      <c r="C44" s="883" t="s">
        <v>960</v>
      </c>
      <c r="D44" s="887">
        <v>32.75</v>
      </c>
      <c r="E44" s="287">
        <v>6</v>
      </c>
      <c r="F44" s="287">
        <v>6</v>
      </c>
      <c r="G44" s="256"/>
      <c r="H44" s="268"/>
      <c r="L44" s="712"/>
    </row>
    <row r="45" spans="1:14" ht="56.25" customHeight="1">
      <c r="A45" s="958"/>
      <c r="B45" s="876" t="s">
        <v>1086</v>
      </c>
      <c r="C45" s="879" t="s">
        <v>939</v>
      </c>
      <c r="D45" s="887">
        <v>174.4</v>
      </c>
      <c r="E45" s="287">
        <v>198.9</v>
      </c>
      <c r="F45" s="287">
        <v>198.9</v>
      </c>
      <c r="G45" s="291"/>
      <c r="H45" s="268"/>
      <c r="K45" s="712"/>
      <c r="M45" s="257"/>
      <c r="N45" s="255"/>
    </row>
    <row r="46" spans="1:14" ht="29.25" customHeight="1">
      <c r="A46" s="958"/>
      <c r="B46" s="877" t="s">
        <v>1087</v>
      </c>
      <c r="C46" s="880" t="s">
        <v>941</v>
      </c>
      <c r="D46" s="887">
        <v>6</v>
      </c>
      <c r="E46" s="287">
        <v>179.1</v>
      </c>
      <c r="F46" s="287">
        <v>179.1</v>
      </c>
      <c r="G46" s="256"/>
      <c r="H46" s="268"/>
      <c r="K46" s="712"/>
      <c r="M46" s="257"/>
      <c r="N46" s="255"/>
    </row>
    <row r="47" spans="1:14" ht="51.75" customHeight="1">
      <c r="A47" s="958"/>
      <c r="B47" s="875" t="s">
        <v>1088</v>
      </c>
      <c r="C47" s="878" t="s">
        <v>943</v>
      </c>
      <c r="D47" s="887">
        <v>21.1</v>
      </c>
      <c r="E47" s="287">
        <v>159.19999999999999</v>
      </c>
      <c r="F47" s="287">
        <v>159.19999999999999</v>
      </c>
      <c r="G47" s="292"/>
      <c r="H47" s="268"/>
      <c r="K47" s="712"/>
      <c r="M47" s="257"/>
      <c r="N47" s="255"/>
    </row>
    <row r="48" spans="1:14" ht="51.75" customHeight="1">
      <c r="A48" s="958"/>
      <c r="B48" s="875" t="s">
        <v>1089</v>
      </c>
      <c r="C48" s="878" t="s">
        <v>1090</v>
      </c>
      <c r="D48" s="887">
        <v>0.27</v>
      </c>
      <c r="E48" s="287"/>
      <c r="F48" s="287"/>
      <c r="G48" s="292"/>
      <c r="H48" s="268"/>
      <c r="K48" s="712"/>
      <c r="M48" s="257"/>
      <c r="N48" s="255"/>
    </row>
    <row r="49" spans="1:14" ht="51.75" customHeight="1">
      <c r="A49" s="958"/>
      <c r="B49" s="875" t="s">
        <v>1091</v>
      </c>
      <c r="C49" s="878" t="s">
        <v>1092</v>
      </c>
      <c r="D49" s="887">
        <v>72</v>
      </c>
      <c r="E49" s="287"/>
      <c r="F49" s="287"/>
      <c r="G49" s="292"/>
      <c r="H49" s="268"/>
      <c r="K49" s="712"/>
      <c r="M49" s="257"/>
      <c r="N49" s="255"/>
    </row>
    <row r="50" spans="1:14" ht="45.75" customHeight="1">
      <c r="A50" s="958"/>
      <c r="B50" s="876" t="s">
        <v>1093</v>
      </c>
      <c r="C50" s="878" t="s">
        <v>961</v>
      </c>
      <c r="D50" s="887">
        <v>48.85</v>
      </c>
      <c r="E50" s="287">
        <v>19.899999999999999</v>
      </c>
      <c r="F50" s="287">
        <v>19.899999999999999</v>
      </c>
      <c r="G50" s="256"/>
      <c r="H50" s="268"/>
      <c r="K50" s="712"/>
      <c r="M50" s="257"/>
      <c r="N50" s="255"/>
    </row>
    <row r="51" spans="1:14" ht="75.75" customHeight="1">
      <c r="A51" s="958"/>
      <c r="B51" s="876" t="s">
        <v>1094</v>
      </c>
      <c r="C51" s="878" t="s">
        <v>962</v>
      </c>
      <c r="D51" s="887">
        <v>47</v>
      </c>
      <c r="E51" s="287">
        <v>455.2</v>
      </c>
      <c r="F51" s="287">
        <v>455.2</v>
      </c>
      <c r="G51" s="256"/>
      <c r="H51" s="268"/>
      <c r="K51" s="712"/>
      <c r="M51" s="257"/>
      <c r="N51" s="255"/>
    </row>
    <row r="52" spans="1:14" ht="58.5" hidden="1" customHeight="1">
      <c r="A52" s="958"/>
      <c r="B52" s="875" t="s">
        <v>1095</v>
      </c>
      <c r="C52" s="878" t="s">
        <v>948</v>
      </c>
      <c r="D52" s="887">
        <v>6.8</v>
      </c>
      <c r="E52" s="287"/>
      <c r="F52" s="287"/>
      <c r="G52" s="256"/>
      <c r="H52" s="268"/>
      <c r="K52" s="712"/>
      <c r="M52" s="257"/>
      <c r="N52" s="255"/>
    </row>
    <row r="53" spans="1:14" ht="46.5" customHeight="1">
      <c r="A53" s="958"/>
      <c r="B53" s="876" t="s">
        <v>1099</v>
      </c>
      <c r="C53" s="878" t="s">
        <v>964</v>
      </c>
      <c r="D53" s="887">
        <v>1483</v>
      </c>
      <c r="E53" s="287"/>
      <c r="F53" s="287"/>
      <c r="G53" s="256"/>
      <c r="H53" s="268"/>
      <c r="K53" s="712"/>
      <c r="M53" s="257"/>
      <c r="N53" s="255"/>
    </row>
    <row r="54" spans="1:14" ht="47.25" customHeight="1">
      <c r="A54" s="958"/>
      <c r="B54" s="875" t="s">
        <v>1100</v>
      </c>
      <c r="C54" s="878" t="s">
        <v>951</v>
      </c>
      <c r="D54" s="887">
        <v>375.85</v>
      </c>
      <c r="E54" s="287"/>
      <c r="F54" s="287"/>
      <c r="H54" s="268"/>
      <c r="K54" s="712"/>
      <c r="M54" s="257"/>
      <c r="N54" s="255"/>
    </row>
    <row r="55" spans="1:14" ht="46.5" customHeight="1">
      <c r="A55" s="958"/>
      <c r="B55" s="882" t="s">
        <v>1096</v>
      </c>
      <c r="C55" s="885" t="s">
        <v>1097</v>
      </c>
      <c r="D55" s="887">
        <v>67</v>
      </c>
      <c r="E55" s="287"/>
      <c r="F55" s="287"/>
      <c r="K55" s="712"/>
      <c r="M55" s="257"/>
      <c r="N55" s="255"/>
    </row>
    <row r="56" spans="1:14" ht="36">
      <c r="A56" s="958"/>
      <c r="B56" s="881" t="s">
        <v>1101</v>
      </c>
      <c r="C56" s="884" t="s">
        <v>955</v>
      </c>
      <c r="D56" s="887">
        <v>5.5</v>
      </c>
      <c r="E56" s="287"/>
      <c r="F56" s="287"/>
      <c r="K56" s="712"/>
      <c r="M56" s="257"/>
      <c r="N56" s="255"/>
    </row>
    <row r="57" spans="1:14" ht="50.25" customHeight="1">
      <c r="A57" s="958"/>
      <c r="B57" s="875" t="s">
        <v>933</v>
      </c>
      <c r="C57" s="879" t="s">
        <v>1057</v>
      </c>
      <c r="D57" s="887">
        <v>673.55</v>
      </c>
      <c r="E57" s="287"/>
      <c r="F57" s="287"/>
      <c r="K57" s="712"/>
      <c r="M57" s="257"/>
      <c r="N57" s="255"/>
    </row>
    <row r="58" spans="1:14" ht="48">
      <c r="A58" s="958"/>
      <c r="B58" s="875" t="s">
        <v>1098</v>
      </c>
      <c r="C58" s="879" t="s">
        <v>936</v>
      </c>
      <c r="D58" s="887">
        <v>16.260000000000002</v>
      </c>
      <c r="E58" s="287"/>
      <c r="F58" s="287"/>
      <c r="K58"/>
      <c r="M58" s="257"/>
      <c r="N58" s="255"/>
    </row>
    <row r="59" spans="1:14" ht="51.75" customHeight="1">
      <c r="A59" s="958"/>
      <c r="B59" s="875" t="s">
        <v>1102</v>
      </c>
      <c r="C59" s="886" t="s">
        <v>1058</v>
      </c>
      <c r="D59" s="887">
        <v>359.17</v>
      </c>
      <c r="E59" s="287"/>
      <c r="F59" s="287"/>
      <c r="K59"/>
      <c r="M59" s="257"/>
      <c r="N59" s="255"/>
    </row>
    <row r="60" spans="1:14" ht="12.75">
      <c r="A60" s="771">
        <v>9</v>
      </c>
      <c r="B60" s="700" t="s">
        <v>330</v>
      </c>
      <c r="C60" s="285" t="s">
        <v>331</v>
      </c>
      <c r="D60" s="286">
        <f>D61</f>
        <v>513</v>
      </c>
      <c r="E60" s="287">
        <f>E61</f>
        <v>979.6</v>
      </c>
      <c r="F60" s="287">
        <f>F61</f>
        <v>1379.6</v>
      </c>
      <c r="K60"/>
      <c r="M60" s="257"/>
      <c r="N60" s="255"/>
    </row>
    <row r="61" spans="1:14">
      <c r="A61" s="776"/>
      <c r="B61" s="701" t="s">
        <v>332</v>
      </c>
      <c r="C61" s="439" t="s">
        <v>169</v>
      </c>
      <c r="D61" s="440">
        <v>513</v>
      </c>
      <c r="E61" s="441">
        <v>979.6</v>
      </c>
      <c r="F61" s="441">
        <v>1379.6</v>
      </c>
    </row>
    <row r="62" spans="1:14">
      <c r="L62" s="263"/>
    </row>
    <row r="65" spans="12:12">
      <c r="L65" s="263"/>
    </row>
    <row r="68" spans="12:12">
      <c r="L68" s="263"/>
    </row>
    <row r="69" spans="12:12">
      <c r="L69" s="263"/>
    </row>
    <row r="70" spans="12:12">
      <c r="L70" s="263"/>
    </row>
    <row r="71" spans="12:12">
      <c r="L71" s="263"/>
    </row>
    <row r="74" spans="12:12">
      <c r="L74" s="263"/>
    </row>
    <row r="75" spans="12:12">
      <c r="L75" s="263"/>
    </row>
  </sheetData>
  <mergeCells count="15">
    <mergeCell ref="B11:C11"/>
    <mergeCell ref="D1:F1"/>
    <mergeCell ref="C5:F5"/>
    <mergeCell ref="C6:F6"/>
    <mergeCell ref="C2:F2"/>
    <mergeCell ref="C3:F3"/>
    <mergeCell ref="C4:F4"/>
    <mergeCell ref="B8:D8"/>
    <mergeCell ref="A40:A42"/>
    <mergeCell ref="A44:A59"/>
    <mergeCell ref="A13:A17"/>
    <mergeCell ref="A19:A22"/>
    <mergeCell ref="A24:A27"/>
    <mergeCell ref="A31:A33"/>
    <mergeCell ref="A35:A36"/>
  </mergeCells>
  <phoneticPr fontId="16" type="noConversion"/>
  <pageMargins left="1.1417322834645669" right="0.35433070866141736" top="0.59055118110236227" bottom="0.59055118110236227" header="0" footer="0"/>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theme="0"/>
  </sheetPr>
  <dimension ref="A1:H60"/>
  <sheetViews>
    <sheetView view="pageBreakPreview" topLeftCell="A25" zoomScale="110" zoomScaleSheetLayoutView="110" workbookViewId="0">
      <selection activeCell="H38" sqref="H38"/>
    </sheetView>
  </sheetViews>
  <sheetFormatPr defaultRowHeight="12"/>
  <cols>
    <col min="1" max="1" width="5.7109375" style="255" bestFit="1" customWidth="1"/>
    <col min="2" max="2" width="21.7109375" style="296" bestFit="1" customWidth="1"/>
    <col min="3" max="3" width="57.42578125" style="258" customWidth="1"/>
    <col min="4" max="4" width="14" style="259" hidden="1" customWidth="1"/>
    <col min="5" max="5" width="12.7109375" style="260" hidden="1" customWidth="1"/>
    <col min="6" max="6" width="0.28515625" style="297" hidden="1" customWidth="1"/>
    <col min="7" max="7" width="12" style="255" bestFit="1" customWidth="1"/>
    <col min="8" max="8" width="12" style="256" bestFit="1" customWidth="1"/>
    <col min="9" max="16384" width="9.140625" style="255"/>
  </cols>
  <sheetData>
    <row r="1" spans="1:8" ht="12.75">
      <c r="B1" s="258"/>
      <c r="C1" s="972" t="s">
        <v>433</v>
      </c>
      <c r="D1" s="972"/>
      <c r="E1" s="972"/>
      <c r="F1" s="972"/>
      <c r="G1" s="972"/>
      <c r="H1" s="972"/>
    </row>
    <row r="2" spans="1:8" ht="12.75">
      <c r="B2" s="258"/>
      <c r="C2" s="972" t="s">
        <v>199</v>
      </c>
      <c r="D2" s="972"/>
      <c r="E2" s="972"/>
      <c r="F2" s="972"/>
      <c r="G2" s="972"/>
      <c r="H2" s="972"/>
    </row>
    <row r="3" spans="1:8" ht="12.75">
      <c r="B3" s="258"/>
      <c r="C3" s="972" t="s">
        <v>298</v>
      </c>
      <c r="D3" s="972"/>
      <c r="E3" s="972"/>
      <c r="F3" s="972"/>
      <c r="G3" s="972"/>
      <c r="H3" s="972"/>
    </row>
    <row r="4" spans="1:8" ht="13.5" customHeight="1">
      <c r="B4" s="258"/>
      <c r="C4" s="972" t="s">
        <v>454</v>
      </c>
      <c r="D4" s="972"/>
      <c r="E4" s="972"/>
      <c r="F4" s="972"/>
      <c r="G4" s="972"/>
      <c r="H4" s="972"/>
    </row>
    <row r="5" spans="1:8" ht="12.75">
      <c r="B5" s="258"/>
      <c r="C5" s="972" t="s">
        <v>1132</v>
      </c>
      <c r="D5" s="972"/>
      <c r="E5" s="972"/>
      <c r="F5" s="972"/>
      <c r="G5" s="972"/>
      <c r="H5" s="972"/>
    </row>
    <row r="6" spans="1:8" ht="12.75">
      <c r="B6" s="258"/>
      <c r="C6" s="972" t="s">
        <v>1140</v>
      </c>
      <c r="D6" s="972"/>
      <c r="E6" s="972"/>
      <c r="F6" s="972"/>
      <c r="G6" s="972"/>
      <c r="H6" s="972"/>
    </row>
    <row r="7" spans="1:8">
      <c r="B7" s="258"/>
      <c r="F7" s="261"/>
    </row>
    <row r="8" spans="1:8" ht="12" customHeight="1">
      <c r="A8" s="969" t="s">
        <v>1139</v>
      </c>
      <c r="B8" s="969"/>
      <c r="C8" s="969"/>
      <c r="D8" s="969"/>
      <c r="E8" s="969"/>
      <c r="F8" s="969"/>
      <c r="G8" s="969"/>
      <c r="H8" s="969"/>
    </row>
    <row r="9" spans="1:8">
      <c r="B9" s="258"/>
      <c r="F9" s="261"/>
      <c r="H9" s="546" t="s">
        <v>150</v>
      </c>
    </row>
    <row r="10" spans="1:8" ht="27.75" customHeight="1">
      <c r="A10" s="525" t="s">
        <v>357</v>
      </c>
      <c r="B10" s="525" t="s">
        <v>104</v>
      </c>
      <c r="C10" s="525" t="s">
        <v>204</v>
      </c>
      <c r="D10" s="525" t="s">
        <v>531</v>
      </c>
      <c r="E10" s="525" t="s">
        <v>532</v>
      </c>
      <c r="F10" s="262" t="s">
        <v>130</v>
      </c>
      <c r="G10" s="785" t="s">
        <v>922</v>
      </c>
      <c r="H10" s="785" t="s">
        <v>1142</v>
      </c>
    </row>
    <row r="11" spans="1:8" s="263" customFormat="1" ht="12" customHeight="1">
      <c r="A11" s="525"/>
      <c r="B11" s="970" t="s">
        <v>105</v>
      </c>
      <c r="C11" s="971"/>
      <c r="D11" s="529" t="e">
        <f>D12+D23+D27+D29+D33+D36+D38+D42+D52+D18</f>
        <v>#REF!</v>
      </c>
      <c r="E11" s="529" t="e">
        <f>E12+E23+E27+E29+E33+E36+E38+E42+E52+E18</f>
        <v>#REF!</v>
      </c>
      <c r="F11" s="262" t="e">
        <f>F12+F23+F27+F29+F33+F39+F41+F45+F53+F18</f>
        <v>#REF!</v>
      </c>
      <c r="G11" s="529">
        <f>G12+G18+G23+G27+G29+G33+G38+G42+G59</f>
        <v>339781.3</v>
      </c>
      <c r="H11" s="529">
        <f>H12+H18+H23+H27+H29+H33+H38+H42+H59</f>
        <v>346133.3</v>
      </c>
    </row>
    <row r="12" spans="1:8" s="263" customFormat="1">
      <c r="A12" s="525">
        <v>1</v>
      </c>
      <c r="B12" s="523" t="s">
        <v>106</v>
      </c>
      <c r="C12" s="285" t="s">
        <v>107</v>
      </c>
      <c r="D12" s="530">
        <f>D13</f>
        <v>120813.4</v>
      </c>
      <c r="E12" s="530">
        <f>E13</f>
        <v>125224.79999999999</v>
      </c>
      <c r="F12" s="287">
        <f t="shared" ref="F12" si="0">F13</f>
        <v>0</v>
      </c>
      <c r="G12" s="530">
        <f>G13</f>
        <v>295913.2</v>
      </c>
      <c r="H12" s="530">
        <f>H13</f>
        <v>301831.5</v>
      </c>
    </row>
    <row r="13" spans="1:8" ht="12" customHeight="1">
      <c r="A13" s="265"/>
      <c r="B13" s="438" t="s">
        <v>108</v>
      </c>
      <c r="C13" s="439" t="s">
        <v>109</v>
      </c>
      <c r="D13" s="526">
        <f>D14+D15+D16+D17</f>
        <v>120813.4</v>
      </c>
      <c r="E13" s="526">
        <f>E14+E15+E16+E17</f>
        <v>125224.79999999999</v>
      </c>
      <c r="F13" s="441"/>
      <c r="G13" s="526">
        <f>G14+G15+G16+G17</f>
        <v>295913.2</v>
      </c>
      <c r="H13" s="526">
        <f>H14+H15+H16+H17</f>
        <v>301831.5</v>
      </c>
    </row>
    <row r="14" spans="1:8" ht="52.5" customHeight="1">
      <c r="A14" s="269"/>
      <c r="B14" s="438" t="s">
        <v>364</v>
      </c>
      <c r="C14" s="439" t="s">
        <v>1141</v>
      </c>
      <c r="D14" s="526">
        <v>119985.8</v>
      </c>
      <c r="E14" s="526">
        <v>124305.2</v>
      </c>
      <c r="F14" s="441"/>
      <c r="G14" s="440">
        <v>292983.7</v>
      </c>
      <c r="H14" s="440">
        <v>298843.3</v>
      </c>
    </row>
    <row r="15" spans="1:8" s="263" customFormat="1" ht="72">
      <c r="A15" s="270"/>
      <c r="B15" s="438" t="s">
        <v>365</v>
      </c>
      <c r="C15" s="442" t="s">
        <v>312</v>
      </c>
      <c r="D15" s="526">
        <v>117.5</v>
      </c>
      <c r="E15" s="526">
        <v>183.9</v>
      </c>
      <c r="F15" s="441"/>
      <c r="G15" s="440">
        <v>1006.1</v>
      </c>
      <c r="H15" s="440">
        <v>1026.2</v>
      </c>
    </row>
    <row r="16" spans="1:8" ht="27" customHeight="1">
      <c r="A16" s="270"/>
      <c r="B16" s="438" t="s">
        <v>366</v>
      </c>
      <c r="C16" s="439" t="s">
        <v>363</v>
      </c>
      <c r="D16" s="526">
        <v>692.4</v>
      </c>
      <c r="E16" s="526">
        <v>717.3</v>
      </c>
      <c r="F16" s="441"/>
      <c r="G16" s="440">
        <v>1895.7</v>
      </c>
      <c r="H16" s="440">
        <v>1933.6</v>
      </c>
    </row>
    <row r="17" spans="1:8" ht="67.5" customHeight="1">
      <c r="A17" s="270"/>
      <c r="B17" s="438" t="s">
        <v>367</v>
      </c>
      <c r="C17" s="442" t="s">
        <v>16</v>
      </c>
      <c r="D17" s="526">
        <v>17.7</v>
      </c>
      <c r="E17" s="526">
        <v>18.399999999999999</v>
      </c>
      <c r="F17" s="441"/>
      <c r="G17" s="440">
        <v>27.7</v>
      </c>
      <c r="H17" s="440">
        <v>28.4</v>
      </c>
    </row>
    <row r="18" spans="1:8" ht="24">
      <c r="A18" s="273">
        <v>2</v>
      </c>
      <c r="B18" s="444" t="s">
        <v>351</v>
      </c>
      <c r="C18" s="445" t="s">
        <v>118</v>
      </c>
      <c r="D18" s="530">
        <f>SUM(D19:D22)</f>
        <v>11315.1</v>
      </c>
      <c r="E18" s="530">
        <f>SUM(E19:E22)</f>
        <v>11315.1</v>
      </c>
      <c r="F18" s="287">
        <f>F19+F20+F21+F22</f>
        <v>103.6</v>
      </c>
      <c r="G18" s="530">
        <f>SUM(G19:G22)</f>
        <v>14268.499999999998</v>
      </c>
      <c r="H18" s="530">
        <f>SUM(H19:H22)</f>
        <v>14268.499999999998</v>
      </c>
    </row>
    <row r="19" spans="1:8" ht="51" customHeight="1">
      <c r="A19" s="274"/>
      <c r="B19" s="446" t="s">
        <v>352</v>
      </c>
      <c r="C19" s="447" t="s">
        <v>18</v>
      </c>
      <c r="D19" s="531">
        <v>4304.2</v>
      </c>
      <c r="E19" s="531">
        <v>4304.2</v>
      </c>
      <c r="F19" s="448"/>
      <c r="G19" s="718">
        <v>6606.06</v>
      </c>
      <c r="H19" s="718">
        <v>6606.06</v>
      </c>
    </row>
    <row r="20" spans="1:8" s="263" customFormat="1" ht="60">
      <c r="A20" s="275"/>
      <c r="B20" s="446" t="s">
        <v>353</v>
      </c>
      <c r="C20" s="447" t="s">
        <v>20</v>
      </c>
      <c r="D20" s="531">
        <v>29.4</v>
      </c>
      <c r="E20" s="531">
        <v>29.4</v>
      </c>
      <c r="F20" s="448"/>
      <c r="G20" s="718">
        <v>36.9</v>
      </c>
      <c r="H20" s="718">
        <v>36.9</v>
      </c>
    </row>
    <row r="21" spans="1:8" ht="48">
      <c r="A21" s="269"/>
      <c r="B21" s="446" t="s">
        <v>354</v>
      </c>
      <c r="C21" s="447" t="s">
        <v>22</v>
      </c>
      <c r="D21" s="531">
        <v>7726.9</v>
      </c>
      <c r="E21" s="531">
        <v>7726.9</v>
      </c>
      <c r="F21" s="449"/>
      <c r="G21" s="718">
        <v>8639.73</v>
      </c>
      <c r="H21" s="718">
        <v>8639.73</v>
      </c>
    </row>
    <row r="22" spans="1:8" ht="48">
      <c r="A22" s="269"/>
      <c r="B22" s="446" t="s">
        <v>355</v>
      </c>
      <c r="C22" s="447" t="s">
        <v>24</v>
      </c>
      <c r="D22" s="531">
        <v>-745.4</v>
      </c>
      <c r="E22" s="531">
        <v>-745.4</v>
      </c>
      <c r="F22" s="449">
        <v>103.6</v>
      </c>
      <c r="G22" s="718">
        <v>-1014.19</v>
      </c>
      <c r="H22" s="718">
        <v>-1014.19</v>
      </c>
    </row>
    <row r="23" spans="1:8">
      <c r="A23" s="523">
        <v>3</v>
      </c>
      <c r="B23" s="450" t="s">
        <v>110</v>
      </c>
      <c r="C23" s="285" t="s">
        <v>314</v>
      </c>
      <c r="D23" s="530" t="e">
        <f>#REF!+D25+D26+D24</f>
        <v>#REF!</v>
      </c>
      <c r="E23" s="530" t="e">
        <f>#REF!+E25+E26+E24</f>
        <v>#REF!</v>
      </c>
      <c r="F23" s="287" t="e">
        <f>#REF!+F25+F26</f>
        <v>#REF!</v>
      </c>
      <c r="G23" s="530">
        <f>G25+G26+G24</f>
        <v>11928.1</v>
      </c>
      <c r="H23" s="530">
        <f t="shared" ref="H23" si="1">H25+H26+H24</f>
        <v>12251.2</v>
      </c>
    </row>
    <row r="24" spans="1:8">
      <c r="A24" s="524"/>
      <c r="B24" s="476" t="s">
        <v>529</v>
      </c>
      <c r="C24" s="439" t="s">
        <v>530</v>
      </c>
      <c r="D24" s="526">
        <v>5881.5</v>
      </c>
      <c r="E24" s="526">
        <v>6923.9</v>
      </c>
      <c r="F24" s="287"/>
      <c r="G24" s="440">
        <v>10870</v>
      </c>
      <c r="H24" s="440">
        <v>11196.1</v>
      </c>
    </row>
    <row r="25" spans="1:8">
      <c r="A25" s="277"/>
      <c r="B25" s="452" t="s">
        <v>315</v>
      </c>
      <c r="C25" s="439" t="s">
        <v>30</v>
      </c>
      <c r="D25" s="526">
        <v>368.9</v>
      </c>
      <c r="E25" s="526">
        <v>387.5</v>
      </c>
      <c r="F25" s="441">
        <v>143.5</v>
      </c>
      <c r="G25" s="440">
        <v>719.1</v>
      </c>
      <c r="H25" s="440">
        <v>716.1</v>
      </c>
    </row>
    <row r="26" spans="1:8" s="263" customFormat="1" ht="24">
      <c r="A26" s="278"/>
      <c r="B26" s="451" t="s">
        <v>56</v>
      </c>
      <c r="C26" s="453" t="s">
        <v>55</v>
      </c>
      <c r="D26" s="526">
        <v>239.4</v>
      </c>
      <c r="E26" s="526">
        <v>250.4</v>
      </c>
      <c r="F26" s="441">
        <v>510.5</v>
      </c>
      <c r="G26" s="440">
        <v>339</v>
      </c>
      <c r="H26" s="440">
        <v>339</v>
      </c>
    </row>
    <row r="27" spans="1:8" ht="12" customHeight="1">
      <c r="A27" s="525">
        <v>4</v>
      </c>
      <c r="B27" s="523" t="s">
        <v>316</v>
      </c>
      <c r="C27" s="285" t="s">
        <v>317</v>
      </c>
      <c r="D27" s="530">
        <f>D28</f>
        <v>4284</v>
      </c>
      <c r="E27" s="530">
        <f>E28</f>
        <v>4120</v>
      </c>
      <c r="F27" s="287">
        <f t="shared" ref="F27" si="2">F28</f>
        <v>2317.3000000000002</v>
      </c>
      <c r="G27" s="530">
        <f>G28</f>
        <v>4551.1000000000004</v>
      </c>
      <c r="H27" s="530">
        <f>H28</f>
        <v>4344.8999999999996</v>
      </c>
    </row>
    <row r="28" spans="1:8" ht="36">
      <c r="A28" s="276"/>
      <c r="B28" s="438" t="s">
        <v>287</v>
      </c>
      <c r="C28" s="439" t="s">
        <v>33</v>
      </c>
      <c r="D28" s="526">
        <v>4284</v>
      </c>
      <c r="E28" s="526">
        <v>4120</v>
      </c>
      <c r="F28" s="441">
        <v>2317.3000000000002</v>
      </c>
      <c r="G28" s="440">
        <v>4551.1000000000004</v>
      </c>
      <c r="H28" s="440">
        <v>4344.8999999999996</v>
      </c>
    </row>
    <row r="29" spans="1:8" s="263" customFormat="1" ht="36">
      <c r="A29" s="279">
        <v>5</v>
      </c>
      <c r="B29" s="523" t="s">
        <v>318</v>
      </c>
      <c r="C29" s="285" t="s">
        <v>319</v>
      </c>
      <c r="D29" s="530">
        <f>D30+D31+D32</f>
        <v>6408.9</v>
      </c>
      <c r="E29" s="530">
        <f>E30+E31+E32</f>
        <v>6408.9</v>
      </c>
      <c r="F29" s="287">
        <f>F30+F32+F31</f>
        <v>9120.1209999999992</v>
      </c>
      <c r="G29" s="530">
        <f>G30+G31+G32</f>
        <v>8268.2000000000007</v>
      </c>
      <c r="H29" s="530">
        <f>H30+H31+H32</f>
        <v>8286.6</v>
      </c>
    </row>
    <row r="30" spans="1:8" ht="48">
      <c r="A30" s="280"/>
      <c r="B30" s="451" t="s">
        <v>597</v>
      </c>
      <c r="C30" s="281" t="s">
        <v>126</v>
      </c>
      <c r="D30" s="526">
        <v>1433.7</v>
      </c>
      <c r="E30" s="526">
        <v>1433.7</v>
      </c>
      <c r="F30" s="441">
        <f>2100.5+289.221</f>
        <v>2389.721</v>
      </c>
      <c r="G30" s="440">
        <v>4268.2</v>
      </c>
      <c r="H30" s="440">
        <v>4286.6000000000004</v>
      </c>
    </row>
    <row r="31" spans="1:8" ht="60" hidden="1">
      <c r="A31" s="280"/>
      <c r="B31" s="451" t="s">
        <v>124</v>
      </c>
      <c r="C31" s="281" t="s">
        <v>125</v>
      </c>
      <c r="D31" s="526">
        <v>1164.8</v>
      </c>
      <c r="E31" s="526">
        <v>1164.8</v>
      </c>
      <c r="F31" s="441">
        <v>917.3</v>
      </c>
      <c r="G31" s="440"/>
      <c r="H31" s="440"/>
    </row>
    <row r="32" spans="1:8" s="263" customFormat="1" ht="48">
      <c r="A32" s="278"/>
      <c r="B32" s="451" t="s">
        <v>320</v>
      </c>
      <c r="C32" s="281" t="s">
        <v>81</v>
      </c>
      <c r="D32" s="526">
        <v>3810.4</v>
      </c>
      <c r="E32" s="526">
        <v>3810.4</v>
      </c>
      <c r="F32" s="441">
        <v>5813.1</v>
      </c>
      <c r="G32" s="440">
        <v>4000</v>
      </c>
      <c r="H32" s="440">
        <v>4000</v>
      </c>
    </row>
    <row r="33" spans="1:8" s="263" customFormat="1">
      <c r="A33" s="275">
        <v>6</v>
      </c>
      <c r="B33" s="523" t="s">
        <v>269</v>
      </c>
      <c r="C33" s="285" t="s">
        <v>321</v>
      </c>
      <c r="D33" s="530">
        <f>D34+D35</f>
        <v>136.4</v>
      </c>
      <c r="E33" s="530">
        <f>E34+E35</f>
        <v>136.4</v>
      </c>
      <c r="F33" s="287">
        <f t="shared" ref="F33" si="3">F34</f>
        <v>745.7</v>
      </c>
      <c r="G33" s="530">
        <f>G34+G35</f>
        <v>224.9</v>
      </c>
      <c r="H33" s="530">
        <f>H34+H35</f>
        <v>224.9</v>
      </c>
    </row>
    <row r="34" spans="1:8" s="263" customFormat="1" ht="24">
      <c r="A34" s="275"/>
      <c r="B34" s="451" t="s">
        <v>370</v>
      </c>
      <c r="C34" s="439" t="s">
        <v>368</v>
      </c>
      <c r="D34" s="526">
        <v>34.1</v>
      </c>
      <c r="E34" s="526">
        <v>34.1</v>
      </c>
      <c r="F34" s="440">
        <f t="shared" ref="F34" si="4">F35+F36+F37+F38</f>
        <v>745.7</v>
      </c>
      <c r="G34" s="440">
        <v>129.9</v>
      </c>
      <c r="H34" s="440">
        <v>129.9</v>
      </c>
    </row>
    <row r="35" spans="1:8" s="263" customFormat="1">
      <c r="A35" s="283"/>
      <c r="B35" s="451" t="s">
        <v>371</v>
      </c>
      <c r="C35" s="401" t="s">
        <v>369</v>
      </c>
      <c r="D35" s="532">
        <v>102.3</v>
      </c>
      <c r="E35" s="532">
        <v>102.3</v>
      </c>
      <c r="F35" s="440">
        <v>324.8</v>
      </c>
      <c r="G35" s="454">
        <v>95</v>
      </c>
      <c r="H35" s="454">
        <v>95</v>
      </c>
    </row>
    <row r="36" spans="1:8" ht="55.5" hidden="1" customHeight="1">
      <c r="A36" s="275">
        <v>7</v>
      </c>
      <c r="B36" s="523" t="s">
        <v>322</v>
      </c>
      <c r="C36" s="285" t="s">
        <v>323</v>
      </c>
      <c r="D36" s="530">
        <v>0</v>
      </c>
      <c r="E36" s="530">
        <v>0</v>
      </c>
      <c r="F36" s="454">
        <v>20.100000000000001</v>
      </c>
      <c r="G36" s="530">
        <v>0</v>
      </c>
      <c r="H36" s="530">
        <v>0</v>
      </c>
    </row>
    <row r="37" spans="1:8" ht="39" hidden="1" customHeight="1">
      <c r="A37" s="276"/>
      <c r="B37" s="438" t="s">
        <v>324</v>
      </c>
      <c r="C37" s="439" t="s">
        <v>165</v>
      </c>
      <c r="D37" s="526"/>
      <c r="E37" s="526"/>
      <c r="F37" s="454">
        <v>3.2</v>
      </c>
      <c r="G37" s="526"/>
      <c r="H37" s="526"/>
    </row>
    <row r="38" spans="1:8" s="263" customFormat="1" ht="24">
      <c r="A38" s="279">
        <v>7</v>
      </c>
      <c r="B38" s="523" t="s">
        <v>325</v>
      </c>
      <c r="C38" s="285" t="s">
        <v>326</v>
      </c>
      <c r="D38" s="530">
        <f>D39+D40+D41</f>
        <v>1425</v>
      </c>
      <c r="E38" s="530">
        <f>E39+E40+E41</f>
        <v>2425</v>
      </c>
      <c r="F38" s="454">
        <v>397.6</v>
      </c>
      <c r="G38" s="530">
        <f>G39+G40+G41</f>
        <v>450</v>
      </c>
      <c r="H38" s="530">
        <f>H39+H40+H41</f>
        <v>450</v>
      </c>
    </row>
    <row r="39" spans="1:8" ht="24" hidden="1" customHeight="1">
      <c r="A39" s="279"/>
      <c r="B39" s="451" t="s">
        <v>372</v>
      </c>
      <c r="C39" s="439" t="s">
        <v>327</v>
      </c>
      <c r="D39" s="526">
        <v>1000</v>
      </c>
      <c r="E39" s="526">
        <v>2000</v>
      </c>
      <c r="F39" s="287">
        <f>F40</f>
        <v>0</v>
      </c>
      <c r="G39" s="440"/>
      <c r="H39" s="440"/>
    </row>
    <row r="40" spans="1:8" ht="36" customHeight="1">
      <c r="A40" s="288"/>
      <c r="B40" s="451" t="s">
        <v>598</v>
      </c>
      <c r="C40" s="281" t="s">
        <v>127</v>
      </c>
      <c r="D40" s="526">
        <v>50</v>
      </c>
      <c r="E40" s="526">
        <v>50</v>
      </c>
      <c r="F40" s="441">
        <v>0</v>
      </c>
      <c r="G40" s="440">
        <v>450</v>
      </c>
      <c r="H40" s="440">
        <v>450</v>
      </c>
    </row>
    <row r="41" spans="1:8" s="263" customFormat="1" ht="36" hidden="1">
      <c r="A41" s="288"/>
      <c r="B41" s="451" t="s">
        <v>129</v>
      </c>
      <c r="C41" s="281" t="s">
        <v>128</v>
      </c>
      <c r="D41" s="526">
        <v>375</v>
      </c>
      <c r="E41" s="526">
        <v>375</v>
      </c>
      <c r="F41" s="287">
        <f>F42+F44+F43</f>
        <v>5753.8</v>
      </c>
      <c r="G41" s="440"/>
      <c r="H41" s="440"/>
    </row>
    <row r="42" spans="1:8" s="263" customFormat="1">
      <c r="A42" s="289">
        <v>8</v>
      </c>
      <c r="B42" s="523" t="s">
        <v>328</v>
      </c>
      <c r="C42" s="285" t="s">
        <v>329</v>
      </c>
      <c r="D42" s="530">
        <f>SUM(D43:D51)</f>
        <v>3244.4</v>
      </c>
      <c r="E42" s="530">
        <f>SUM(E43:E51)</f>
        <v>3618.5</v>
      </c>
      <c r="F42" s="441">
        <v>4458.1000000000004</v>
      </c>
      <c r="G42" s="530">
        <f>SUM(G43:G58)</f>
        <v>3584.3000000000006</v>
      </c>
      <c r="H42" s="530">
        <f>SUM(H43:H58)</f>
        <v>3790.1</v>
      </c>
    </row>
    <row r="43" spans="1:8" ht="48">
      <c r="A43" s="290"/>
      <c r="B43" s="875" t="s">
        <v>1085</v>
      </c>
      <c r="C43" s="893" t="s">
        <v>960</v>
      </c>
      <c r="D43" s="526">
        <v>74.400000000000006</v>
      </c>
      <c r="E43" s="526">
        <v>83</v>
      </c>
      <c r="F43" s="441">
        <v>263.3</v>
      </c>
      <c r="G43" s="894">
        <v>34.6</v>
      </c>
      <c r="H43" s="895">
        <v>36.619999999999997</v>
      </c>
    </row>
    <row r="44" spans="1:8" ht="72">
      <c r="A44" s="282"/>
      <c r="B44" s="876" t="s">
        <v>1086</v>
      </c>
      <c r="C44" s="896" t="s">
        <v>939</v>
      </c>
      <c r="D44" s="526">
        <v>231.2</v>
      </c>
      <c r="E44" s="526">
        <v>257.89999999999998</v>
      </c>
      <c r="F44" s="441">
        <v>1032.4000000000001</v>
      </c>
      <c r="G44" s="894">
        <v>184.4</v>
      </c>
      <c r="H44" s="895">
        <v>195</v>
      </c>
    </row>
    <row r="45" spans="1:8" ht="27.75" customHeight="1">
      <c r="A45" s="282"/>
      <c r="B45" s="877" t="s">
        <v>1087</v>
      </c>
      <c r="C45" s="897" t="s">
        <v>941</v>
      </c>
      <c r="D45" s="526">
        <v>937.9</v>
      </c>
      <c r="E45" s="526">
        <v>1046</v>
      </c>
      <c r="F45" s="287">
        <f>SUM(F46:F52)</f>
        <v>1048.0999999999999</v>
      </c>
      <c r="G45" s="894">
        <v>6.3</v>
      </c>
      <c r="H45" s="895">
        <v>6.74</v>
      </c>
    </row>
    <row r="46" spans="1:8" ht="84">
      <c r="A46" s="282"/>
      <c r="B46" s="875" t="s">
        <v>1088</v>
      </c>
      <c r="C46" s="893" t="s">
        <v>943</v>
      </c>
      <c r="D46" s="526">
        <v>526.4</v>
      </c>
      <c r="E46" s="526">
        <v>587.1</v>
      </c>
      <c r="F46" s="287">
        <v>29.8</v>
      </c>
      <c r="G46" s="894">
        <v>22.3</v>
      </c>
      <c r="H46" s="895">
        <v>23.59</v>
      </c>
    </row>
    <row r="47" spans="1:8" ht="60">
      <c r="A47" s="282"/>
      <c r="B47" s="875" t="s">
        <v>1089</v>
      </c>
      <c r="C47" s="893" t="s">
        <v>1090</v>
      </c>
      <c r="D47" s="526">
        <v>122.4</v>
      </c>
      <c r="E47" s="526">
        <v>136.5</v>
      </c>
      <c r="F47" s="287">
        <v>6</v>
      </c>
      <c r="G47" s="894">
        <v>0.28999999999999998</v>
      </c>
      <c r="H47" s="895">
        <v>0.3</v>
      </c>
    </row>
    <row r="48" spans="1:8" ht="48">
      <c r="A48" s="282"/>
      <c r="B48" s="875" t="s">
        <v>1091</v>
      </c>
      <c r="C48" s="893" t="s">
        <v>1092</v>
      </c>
      <c r="D48" s="526">
        <v>228.5</v>
      </c>
      <c r="E48" s="526">
        <v>254.9</v>
      </c>
      <c r="F48" s="287">
        <v>198.9</v>
      </c>
      <c r="G48" s="894">
        <v>76.099999999999994</v>
      </c>
      <c r="H48" s="895">
        <v>80.510000000000005</v>
      </c>
    </row>
    <row r="49" spans="1:8" ht="29.25" customHeight="1">
      <c r="A49" s="282"/>
      <c r="B49" s="876" t="s">
        <v>1093</v>
      </c>
      <c r="C49" s="893" t="s">
        <v>961</v>
      </c>
      <c r="D49" s="526">
        <v>0.8</v>
      </c>
      <c r="E49" s="526">
        <v>0.9</v>
      </c>
      <c r="F49" s="287">
        <v>179.1</v>
      </c>
      <c r="G49" s="894">
        <v>51.7</v>
      </c>
      <c r="H49" s="895">
        <v>54.62</v>
      </c>
    </row>
    <row r="50" spans="1:8" ht="51" customHeight="1">
      <c r="A50" s="282"/>
      <c r="B50" s="876" t="s">
        <v>1094</v>
      </c>
      <c r="C50" s="893" t="s">
        <v>962</v>
      </c>
      <c r="D50" s="526">
        <v>56.2</v>
      </c>
      <c r="E50" s="526">
        <v>62.6</v>
      </c>
      <c r="F50" s="287">
        <v>159.19999999999999</v>
      </c>
      <c r="G50" s="894">
        <v>49.7</v>
      </c>
      <c r="H50" s="895">
        <v>52.55</v>
      </c>
    </row>
    <row r="51" spans="1:8" ht="60">
      <c r="A51" s="293"/>
      <c r="B51" s="875" t="s">
        <v>1095</v>
      </c>
      <c r="C51" s="893" t="s">
        <v>948</v>
      </c>
      <c r="D51" s="533">
        <v>1066.5999999999999</v>
      </c>
      <c r="E51" s="533">
        <v>1189.5999999999999</v>
      </c>
      <c r="F51" s="287">
        <v>19.899999999999999</v>
      </c>
      <c r="G51" s="894">
        <v>7.19</v>
      </c>
      <c r="H51" s="895">
        <v>7.6</v>
      </c>
    </row>
    <row r="52" spans="1:8" ht="60">
      <c r="A52" s="294"/>
      <c r="B52" s="876" t="s">
        <v>1099</v>
      </c>
      <c r="C52" s="893" t="s">
        <v>964</v>
      </c>
      <c r="D52" s="529">
        <f>D53</f>
        <v>230</v>
      </c>
      <c r="E52" s="529">
        <f>E53</f>
        <v>210</v>
      </c>
      <c r="F52" s="262">
        <v>455.2</v>
      </c>
      <c r="G52" s="894">
        <v>1568.23</v>
      </c>
      <c r="H52" s="895">
        <v>1658.27</v>
      </c>
    </row>
    <row r="53" spans="1:8" ht="48">
      <c r="A53" s="295"/>
      <c r="B53" s="875" t="s">
        <v>1100</v>
      </c>
      <c r="C53" s="893" t="s">
        <v>951</v>
      </c>
      <c r="D53" s="533">
        <v>230</v>
      </c>
      <c r="E53" s="533">
        <v>210</v>
      </c>
      <c r="F53" s="262">
        <f t="shared" ref="F53" si="5">F54</f>
        <v>1379.6</v>
      </c>
      <c r="G53" s="894">
        <v>397.59</v>
      </c>
      <c r="H53" s="895">
        <v>420.27</v>
      </c>
    </row>
    <row r="54" spans="1:8" ht="51">
      <c r="A54" s="295"/>
      <c r="B54" s="882" t="s">
        <v>1096</v>
      </c>
      <c r="C54" s="898" t="s">
        <v>1097</v>
      </c>
      <c r="D54" s="266">
        <v>109.5</v>
      </c>
      <c r="E54" s="267">
        <v>979.6</v>
      </c>
      <c r="F54" s="267">
        <v>1379.6</v>
      </c>
      <c r="G54" s="894">
        <v>70.849999999999994</v>
      </c>
      <c r="H54" s="895">
        <v>74.92</v>
      </c>
    </row>
    <row r="55" spans="1:8" ht="48">
      <c r="A55" s="258"/>
      <c r="B55" s="881" t="s">
        <v>1101</v>
      </c>
      <c r="C55" s="896" t="s">
        <v>955</v>
      </c>
      <c r="D55" s="266"/>
      <c r="E55" s="267"/>
      <c r="F55" s="267"/>
      <c r="G55" s="899">
        <v>5.8</v>
      </c>
      <c r="H55" s="900">
        <v>6.15</v>
      </c>
    </row>
    <row r="56" spans="1:8" ht="48">
      <c r="A56" s="258"/>
      <c r="B56" s="875" t="s">
        <v>933</v>
      </c>
      <c r="C56" s="896" t="s">
        <v>1057</v>
      </c>
      <c r="D56" s="266"/>
      <c r="E56" s="267"/>
      <c r="F56" s="267"/>
      <c r="G56" s="899">
        <v>712.26</v>
      </c>
      <c r="H56" s="900">
        <v>753.16</v>
      </c>
    </row>
    <row r="57" spans="1:8" ht="48">
      <c r="B57" s="875" t="s">
        <v>1098</v>
      </c>
      <c r="C57" s="896" t="s">
        <v>936</v>
      </c>
      <c r="D57" s="709"/>
      <c r="E57" s="710"/>
      <c r="F57" s="711"/>
      <c r="G57" s="899">
        <v>17.190000000000001</v>
      </c>
      <c r="H57" s="900">
        <v>18.18</v>
      </c>
    </row>
    <row r="58" spans="1:8" ht="48">
      <c r="B58" s="875" t="s">
        <v>1102</v>
      </c>
      <c r="C58" s="901" t="s">
        <v>1058</v>
      </c>
      <c r="D58" s="709"/>
      <c r="E58" s="710"/>
      <c r="F58" s="711"/>
      <c r="G58" s="894">
        <v>379.8</v>
      </c>
      <c r="H58" s="895">
        <v>401.62</v>
      </c>
    </row>
    <row r="59" spans="1:8">
      <c r="A59" s="255">
        <v>9</v>
      </c>
      <c r="B59" s="700" t="s">
        <v>330</v>
      </c>
      <c r="C59" s="707" t="s">
        <v>331</v>
      </c>
      <c r="G59" s="708">
        <f>G60</f>
        <v>593</v>
      </c>
      <c r="H59" s="708">
        <f>H60</f>
        <v>685.6</v>
      </c>
    </row>
    <row r="60" spans="1:8">
      <c r="B60" s="701" t="s">
        <v>332</v>
      </c>
      <c r="C60" s="439" t="s">
        <v>169</v>
      </c>
      <c r="G60" s="440">
        <v>593</v>
      </c>
      <c r="H60" s="440">
        <v>685.6</v>
      </c>
    </row>
  </sheetData>
  <mergeCells count="8">
    <mergeCell ref="A8:H8"/>
    <mergeCell ref="B11:C11"/>
    <mergeCell ref="C1:H1"/>
    <mergeCell ref="C2:H2"/>
    <mergeCell ref="C3:H3"/>
    <mergeCell ref="C4:H4"/>
    <mergeCell ref="C5:H5"/>
    <mergeCell ref="C6:H6"/>
  </mergeCells>
  <pageMargins left="0.70866141732283472" right="0.70866141732283472" top="0.74803149606299213" bottom="0.74803149606299213"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sheetPr enableFormatConditionsCalculation="0">
    <tabColor theme="0"/>
  </sheetPr>
  <dimension ref="A1:N139"/>
  <sheetViews>
    <sheetView view="pageBreakPreview" zoomScale="80" zoomScaleSheetLayoutView="80" workbookViewId="0">
      <selection activeCell="B7" sqref="B7:D7"/>
    </sheetView>
  </sheetViews>
  <sheetFormatPr defaultRowHeight="15.75"/>
  <cols>
    <col min="1" max="1" width="7.42578125" style="154" customWidth="1"/>
    <col min="2" max="2" width="25.140625" style="154" customWidth="1"/>
    <col min="3" max="3" width="87.85546875" style="154" customWidth="1"/>
    <col min="4" max="6" width="20.85546875" style="298" customWidth="1"/>
    <col min="7" max="7" width="17.140625" style="299" customWidth="1"/>
    <col min="8" max="8" width="20.7109375" style="299" customWidth="1"/>
    <col min="9" max="9" width="15.42578125" style="154" customWidth="1"/>
    <col min="10" max="10" width="14.5703125" style="154" customWidth="1"/>
    <col min="11" max="11" width="14.140625" style="154" customWidth="1"/>
    <col min="12" max="14" width="15.42578125" style="154" customWidth="1"/>
    <col min="15" max="24" width="9.140625" style="154"/>
    <col min="25" max="29" width="0" style="154" hidden="1" customWidth="1"/>
    <col min="30" max="16384" width="9.140625" style="154"/>
  </cols>
  <sheetData>
    <row r="1" spans="1:6">
      <c r="C1" s="973" t="s">
        <v>141</v>
      </c>
      <c r="D1" s="973"/>
      <c r="E1" s="787"/>
      <c r="F1" s="787"/>
    </row>
    <row r="2" spans="1:6">
      <c r="C2" s="973" t="s">
        <v>199</v>
      </c>
      <c r="D2" s="973"/>
      <c r="E2" s="787"/>
      <c r="F2" s="787"/>
    </row>
    <row r="3" spans="1:6">
      <c r="C3" s="973" t="s">
        <v>298</v>
      </c>
      <c r="D3" s="973"/>
      <c r="E3" s="787"/>
      <c r="F3" s="787"/>
    </row>
    <row r="4" spans="1:6">
      <c r="C4" s="973" t="s">
        <v>454</v>
      </c>
      <c r="D4" s="973"/>
      <c r="E4" s="787"/>
      <c r="F4" s="787"/>
    </row>
    <row r="5" spans="1:6">
      <c r="C5" s="973" t="s">
        <v>1132</v>
      </c>
      <c r="D5" s="973"/>
      <c r="E5" s="787"/>
      <c r="F5" s="787"/>
    </row>
    <row r="6" spans="1:6">
      <c r="C6" s="973" t="s">
        <v>1161</v>
      </c>
      <c r="D6" s="973"/>
      <c r="E6" s="787"/>
      <c r="F6" s="787"/>
    </row>
    <row r="7" spans="1:6">
      <c r="B7" s="979" t="s">
        <v>1162</v>
      </c>
      <c r="C7" s="979"/>
      <c r="D7" s="979"/>
      <c r="E7" s="790"/>
      <c r="F7" s="790"/>
    </row>
    <row r="9" spans="1:6" ht="34.5" customHeight="1">
      <c r="A9" s="974" t="s">
        <v>297</v>
      </c>
      <c r="B9" s="974" t="s">
        <v>104</v>
      </c>
      <c r="C9" s="975" t="s">
        <v>204</v>
      </c>
      <c r="D9" s="977" t="s">
        <v>457</v>
      </c>
      <c r="E9" s="788"/>
      <c r="F9" s="788"/>
    </row>
    <row r="10" spans="1:6" ht="24" customHeight="1">
      <c r="A10" s="974"/>
      <c r="B10" s="974"/>
      <c r="C10" s="976"/>
      <c r="D10" s="978"/>
      <c r="E10" s="789"/>
      <c r="F10" s="789"/>
    </row>
    <row r="11" spans="1:6" ht="39.75" customHeight="1">
      <c r="A11" s="300">
        <v>0</v>
      </c>
      <c r="B11" s="301" t="s">
        <v>151</v>
      </c>
      <c r="C11" s="302" t="s">
        <v>57</v>
      </c>
      <c r="D11" s="324">
        <f>D12+D16+D54+D82+D97+D105</f>
        <v>863131.60000000009</v>
      </c>
      <c r="E11" s="324"/>
      <c r="F11" s="324"/>
    </row>
    <row r="12" spans="1:6" ht="33" customHeight="1">
      <c r="A12" s="300">
        <v>931</v>
      </c>
      <c r="B12" s="301" t="s">
        <v>475</v>
      </c>
      <c r="C12" s="302" t="s">
        <v>231</v>
      </c>
      <c r="D12" s="324">
        <f>D13+D15+D14</f>
        <v>4425.1000000000004</v>
      </c>
      <c r="E12" s="324"/>
      <c r="F12" s="324"/>
    </row>
    <row r="13" spans="1:6" ht="31.5">
      <c r="A13" s="303">
        <v>931</v>
      </c>
      <c r="B13" s="304" t="s">
        <v>604</v>
      </c>
      <c r="C13" s="305" t="s">
        <v>695</v>
      </c>
      <c r="D13" s="325">
        <v>4425.1000000000004</v>
      </c>
      <c r="E13" s="325"/>
      <c r="F13" s="325"/>
    </row>
    <row r="14" spans="1:6" ht="33.75" hidden="1" customHeight="1">
      <c r="A14" s="303">
        <v>931</v>
      </c>
      <c r="B14" s="304" t="s">
        <v>605</v>
      </c>
      <c r="C14" s="305" t="s">
        <v>533</v>
      </c>
      <c r="D14" s="325">
        <v>0</v>
      </c>
      <c r="E14" s="325"/>
      <c r="F14" s="325"/>
    </row>
    <row r="15" spans="1:6" ht="48" hidden="1" customHeight="1">
      <c r="A15" s="303">
        <v>931</v>
      </c>
      <c r="B15" s="304" t="s">
        <v>463</v>
      </c>
      <c r="C15" s="305" t="s">
        <v>538</v>
      </c>
      <c r="D15" s="325">
        <v>0</v>
      </c>
      <c r="E15" s="794"/>
      <c r="F15" s="794"/>
    </row>
    <row r="16" spans="1:6" ht="31.5">
      <c r="A16" s="300">
        <v>0</v>
      </c>
      <c r="B16" s="301" t="s">
        <v>476</v>
      </c>
      <c r="C16" s="302" t="s">
        <v>232</v>
      </c>
      <c r="D16" s="324">
        <f>SUM(D17:D53)</f>
        <v>442280.3000000001</v>
      </c>
      <c r="E16" s="795"/>
      <c r="F16" s="795"/>
    </row>
    <row r="17" spans="1:8" s="207" customFormat="1" ht="37.5" customHeight="1">
      <c r="A17" s="306">
        <v>934</v>
      </c>
      <c r="B17" s="410" t="s">
        <v>617</v>
      </c>
      <c r="C17" s="307" t="s">
        <v>697</v>
      </c>
      <c r="D17" s="326">
        <v>2153.1</v>
      </c>
      <c r="E17" s="794" t="s">
        <v>1290</v>
      </c>
      <c r="F17" s="794"/>
      <c r="G17" s="558"/>
      <c r="H17" s="558"/>
    </row>
    <row r="18" spans="1:8" s="207" customFormat="1" ht="47.25">
      <c r="A18" s="306">
        <v>934</v>
      </c>
      <c r="B18" s="410" t="s">
        <v>616</v>
      </c>
      <c r="C18" s="305" t="s">
        <v>631</v>
      </c>
      <c r="D18" s="326">
        <v>10217.299999999999</v>
      </c>
      <c r="E18" s="794" t="s">
        <v>1291</v>
      </c>
      <c r="F18" s="794"/>
      <c r="G18" s="558"/>
      <c r="H18" s="558"/>
    </row>
    <row r="19" spans="1:8" ht="30.75" hidden="1" customHeight="1">
      <c r="A19" s="306">
        <v>934</v>
      </c>
      <c r="B19" s="410" t="s">
        <v>728</v>
      </c>
      <c r="C19" s="305" t="s">
        <v>729</v>
      </c>
      <c r="D19" s="326"/>
      <c r="E19" s="794"/>
      <c r="F19" s="794"/>
    </row>
    <row r="20" spans="1:8" ht="29.25" customHeight="1">
      <c r="A20" s="306">
        <v>937</v>
      </c>
      <c r="B20" s="410" t="s">
        <v>1128</v>
      </c>
      <c r="C20" s="305" t="s">
        <v>1064</v>
      </c>
      <c r="D20" s="461">
        <v>3536.9</v>
      </c>
      <c r="E20" s="796" t="s">
        <v>1289</v>
      </c>
      <c r="F20" s="796"/>
    </row>
    <row r="21" spans="1:8" s="308" customFormat="1" ht="37.5" hidden="1" customHeight="1">
      <c r="A21" s="306">
        <v>934</v>
      </c>
      <c r="B21" s="605" t="s">
        <v>623</v>
      </c>
      <c r="C21" s="305" t="s">
        <v>701</v>
      </c>
      <c r="D21" s="461"/>
      <c r="E21" s="796"/>
      <c r="F21" s="796"/>
    </row>
    <row r="22" spans="1:8" s="309" customFormat="1" ht="63">
      <c r="A22" s="303">
        <v>934</v>
      </c>
      <c r="B22" s="311" t="s">
        <v>607</v>
      </c>
      <c r="C22" s="305" t="s">
        <v>739</v>
      </c>
      <c r="D22" s="461">
        <v>7428.5</v>
      </c>
      <c r="E22" s="796"/>
      <c r="F22" s="796"/>
    </row>
    <row r="23" spans="1:8" s="309" customFormat="1" ht="78.75" customHeight="1">
      <c r="A23" s="303">
        <v>934</v>
      </c>
      <c r="B23" s="311" t="s">
        <v>607</v>
      </c>
      <c r="C23" s="305" t="s">
        <v>678</v>
      </c>
      <c r="D23" s="461">
        <v>7380.8</v>
      </c>
      <c r="E23" s="796"/>
      <c r="F23" s="796"/>
    </row>
    <row r="24" spans="1:8" s="309" customFormat="1" ht="63.75" hidden="1" customHeight="1">
      <c r="A24" s="303">
        <v>934</v>
      </c>
      <c r="B24" s="311" t="s">
        <v>726</v>
      </c>
      <c r="C24" s="305" t="s">
        <v>1232</v>
      </c>
      <c r="D24" s="461"/>
      <c r="E24" s="796"/>
      <c r="F24" s="796"/>
    </row>
    <row r="25" spans="1:8" s="309" customFormat="1" ht="31.5">
      <c r="A25" s="303">
        <v>934</v>
      </c>
      <c r="B25" s="311" t="s">
        <v>607</v>
      </c>
      <c r="C25" s="305" t="s">
        <v>997</v>
      </c>
      <c r="D25" s="461">
        <v>400</v>
      </c>
      <c r="E25" s="796"/>
      <c r="F25" s="796"/>
    </row>
    <row r="26" spans="1:8" s="309" customFormat="1" ht="31.5">
      <c r="A26" s="303">
        <v>937</v>
      </c>
      <c r="B26" s="311" t="s">
        <v>607</v>
      </c>
      <c r="C26" s="305" t="s">
        <v>1288</v>
      </c>
      <c r="D26" s="461">
        <v>607.79999999999995</v>
      </c>
      <c r="E26" s="796"/>
      <c r="F26" s="796"/>
    </row>
    <row r="27" spans="1:8" s="309" customFormat="1" ht="53.25" customHeight="1">
      <c r="A27" s="303">
        <v>934</v>
      </c>
      <c r="B27" s="311" t="s">
        <v>607</v>
      </c>
      <c r="C27" s="305" t="s">
        <v>696</v>
      </c>
      <c r="D27" s="461">
        <v>166</v>
      </c>
      <c r="E27" s="796"/>
      <c r="F27" s="796"/>
    </row>
    <row r="28" spans="1:8" s="309" customFormat="1" ht="47.25">
      <c r="A28" s="303">
        <v>931</v>
      </c>
      <c r="B28" s="311" t="s">
        <v>607</v>
      </c>
      <c r="C28" s="611" t="s">
        <v>994</v>
      </c>
      <c r="D28" s="461">
        <v>50242.9</v>
      </c>
      <c r="E28" s="796"/>
      <c r="F28" s="796"/>
    </row>
    <row r="29" spans="1:8" s="309" customFormat="1" ht="31.5">
      <c r="A29" s="303">
        <v>934</v>
      </c>
      <c r="B29" s="311" t="s">
        <v>607</v>
      </c>
      <c r="C29" s="305" t="s">
        <v>578</v>
      </c>
      <c r="D29" s="461">
        <v>656.4</v>
      </c>
      <c r="E29" s="796"/>
      <c r="F29" s="796"/>
    </row>
    <row r="30" spans="1:8" s="309" customFormat="1" ht="42.75" customHeight="1">
      <c r="A30" s="303">
        <v>934</v>
      </c>
      <c r="B30" s="311" t="s">
        <v>607</v>
      </c>
      <c r="C30" s="305" t="s">
        <v>677</v>
      </c>
      <c r="D30" s="461">
        <v>21294</v>
      </c>
      <c r="E30" s="796"/>
      <c r="F30" s="796"/>
    </row>
    <row r="31" spans="1:8" s="309" customFormat="1" ht="33" customHeight="1">
      <c r="A31" s="303">
        <v>934</v>
      </c>
      <c r="B31" s="311" t="s">
        <v>607</v>
      </c>
      <c r="C31" s="305" t="s">
        <v>1065</v>
      </c>
      <c r="D31" s="461">
        <v>100</v>
      </c>
      <c r="E31" s="796"/>
      <c r="F31" s="796"/>
    </row>
    <row r="32" spans="1:8" s="309" customFormat="1" ht="48" customHeight="1">
      <c r="A32" s="303">
        <v>934</v>
      </c>
      <c r="B32" s="311" t="s">
        <v>607</v>
      </c>
      <c r="C32" s="305" t="s">
        <v>740</v>
      </c>
      <c r="D32" s="461">
        <v>7516.6</v>
      </c>
      <c r="E32" s="796"/>
      <c r="F32" s="796"/>
    </row>
    <row r="33" spans="1:6" s="309" customFormat="1" ht="33" hidden="1" customHeight="1">
      <c r="A33" s="303">
        <v>934</v>
      </c>
      <c r="B33" s="311" t="s">
        <v>607</v>
      </c>
      <c r="C33" s="305" t="s">
        <v>1180</v>
      </c>
      <c r="D33" s="461">
        <v>0</v>
      </c>
      <c r="E33" s="796"/>
      <c r="F33" s="796"/>
    </row>
    <row r="34" spans="1:6" s="309" customFormat="1" ht="38.25" customHeight="1">
      <c r="A34" s="303">
        <v>934</v>
      </c>
      <c r="B34" s="311" t="s">
        <v>607</v>
      </c>
      <c r="C34" s="313" t="s">
        <v>741</v>
      </c>
      <c r="D34" s="461">
        <v>170</v>
      </c>
      <c r="E34" s="796"/>
      <c r="F34" s="796"/>
    </row>
    <row r="35" spans="1:6" s="309" customFormat="1" ht="47.25">
      <c r="A35" s="303">
        <v>936</v>
      </c>
      <c r="B35" s="311" t="s">
        <v>607</v>
      </c>
      <c r="C35" s="305" t="s">
        <v>579</v>
      </c>
      <c r="D35" s="461">
        <v>10916.6</v>
      </c>
      <c r="E35" s="796"/>
      <c r="F35" s="796"/>
    </row>
    <row r="36" spans="1:6" s="309" customFormat="1" ht="38.25" hidden="1" customHeight="1">
      <c r="A36" s="303">
        <v>936</v>
      </c>
      <c r="B36" s="311" t="s">
        <v>607</v>
      </c>
      <c r="C36" s="305" t="s">
        <v>699</v>
      </c>
      <c r="D36" s="461"/>
      <c r="E36" s="796"/>
      <c r="F36" s="796"/>
    </row>
    <row r="37" spans="1:6" s="309" customFormat="1" ht="47.25">
      <c r="A37" s="303">
        <v>936</v>
      </c>
      <c r="B37" s="311" t="s">
        <v>607</v>
      </c>
      <c r="C37" s="313" t="s">
        <v>743</v>
      </c>
      <c r="D37" s="461">
        <v>614</v>
      </c>
      <c r="E37" s="796"/>
      <c r="F37" s="796"/>
    </row>
    <row r="38" spans="1:6" s="309" customFormat="1" ht="48" customHeight="1">
      <c r="A38" s="303">
        <v>936</v>
      </c>
      <c r="B38" s="311" t="s">
        <v>607</v>
      </c>
      <c r="C38" s="305" t="s">
        <v>992</v>
      </c>
      <c r="D38" s="461">
        <v>26319.3</v>
      </c>
      <c r="E38" s="796"/>
      <c r="F38" s="796"/>
    </row>
    <row r="39" spans="1:6" s="309" customFormat="1" ht="37.5" customHeight="1">
      <c r="A39" s="303">
        <v>936</v>
      </c>
      <c r="B39" s="311" t="s">
        <v>607</v>
      </c>
      <c r="C39" s="305" t="s">
        <v>993</v>
      </c>
      <c r="D39" s="461">
        <v>10644.2</v>
      </c>
      <c r="E39" s="796"/>
      <c r="F39" s="796"/>
    </row>
    <row r="40" spans="1:6" s="309" customFormat="1" ht="48" hidden="1" customHeight="1">
      <c r="A40" s="303">
        <v>936</v>
      </c>
      <c r="B40" s="311" t="s">
        <v>1126</v>
      </c>
      <c r="C40" s="305" t="s">
        <v>1010</v>
      </c>
      <c r="D40" s="461"/>
      <c r="E40" s="796"/>
      <c r="F40" s="796"/>
    </row>
    <row r="41" spans="1:6" s="309" customFormat="1" ht="64.5" customHeight="1">
      <c r="A41" s="303">
        <v>936</v>
      </c>
      <c r="B41" s="311" t="s">
        <v>607</v>
      </c>
      <c r="C41" s="315" t="s">
        <v>746</v>
      </c>
      <c r="D41" s="461">
        <v>90950.1</v>
      </c>
      <c r="E41" s="796"/>
      <c r="F41" s="796"/>
    </row>
    <row r="42" spans="1:6" s="309" customFormat="1" ht="39" hidden="1" customHeight="1">
      <c r="A42" s="303">
        <v>936</v>
      </c>
      <c r="B42" s="311" t="s">
        <v>607</v>
      </c>
      <c r="C42" s="315" t="s">
        <v>730</v>
      </c>
      <c r="D42" s="461"/>
      <c r="E42" s="796"/>
      <c r="F42" s="796"/>
    </row>
    <row r="43" spans="1:6" s="309" customFormat="1" ht="47.25" hidden="1" customHeight="1">
      <c r="A43" s="303">
        <v>936</v>
      </c>
      <c r="B43" s="311" t="s">
        <v>626</v>
      </c>
      <c r="C43" s="315" t="s">
        <v>1107</v>
      </c>
      <c r="D43" s="461"/>
      <c r="E43" s="796"/>
      <c r="F43" s="796"/>
    </row>
    <row r="44" spans="1:6" s="308" customFormat="1" ht="31.5">
      <c r="A44" s="303">
        <v>937</v>
      </c>
      <c r="B44" s="311" t="s">
        <v>607</v>
      </c>
      <c r="C44" s="305" t="s">
        <v>745</v>
      </c>
      <c r="D44" s="326">
        <v>151377.70000000001</v>
      </c>
      <c r="E44" s="794"/>
      <c r="F44" s="794"/>
    </row>
    <row r="45" spans="1:6" s="309" customFormat="1" ht="47.25" hidden="1" customHeight="1">
      <c r="A45" s="303">
        <v>931</v>
      </c>
      <c r="B45" s="311" t="s">
        <v>607</v>
      </c>
      <c r="C45" s="305" t="s">
        <v>1079</v>
      </c>
      <c r="D45" s="326"/>
      <c r="E45" s="794"/>
      <c r="F45" s="794"/>
    </row>
    <row r="46" spans="1:6" s="309" customFormat="1" ht="31.5" hidden="1">
      <c r="A46" s="303">
        <v>936</v>
      </c>
      <c r="B46" s="311" t="s">
        <v>607</v>
      </c>
      <c r="C46" s="305" t="s">
        <v>996</v>
      </c>
      <c r="D46" s="326"/>
      <c r="E46" s="794"/>
      <c r="F46" s="794"/>
    </row>
    <row r="47" spans="1:6" s="309" customFormat="1" ht="31.5">
      <c r="A47" s="303">
        <v>934</v>
      </c>
      <c r="B47" s="311" t="s">
        <v>607</v>
      </c>
      <c r="C47" s="305" t="s">
        <v>698</v>
      </c>
      <c r="D47" s="326">
        <v>7745.2</v>
      </c>
      <c r="E47" s="794"/>
      <c r="F47" s="794"/>
    </row>
    <row r="48" spans="1:6" s="309" customFormat="1" ht="47.25" customHeight="1">
      <c r="A48" s="303">
        <v>937</v>
      </c>
      <c r="B48" s="311" t="s">
        <v>607</v>
      </c>
      <c r="C48" s="305" t="s">
        <v>731</v>
      </c>
      <c r="D48" s="326">
        <v>9989</v>
      </c>
      <c r="E48" s="794"/>
      <c r="F48" s="794"/>
    </row>
    <row r="49" spans="1:8" s="309" customFormat="1" ht="51.75" hidden="1" customHeight="1">
      <c r="A49" s="303">
        <v>934</v>
      </c>
      <c r="B49" s="311" t="s">
        <v>737</v>
      </c>
      <c r="C49" s="305" t="s">
        <v>735</v>
      </c>
      <c r="D49" s="326"/>
      <c r="E49" s="794"/>
      <c r="F49" s="794"/>
    </row>
    <row r="50" spans="1:8" s="309" customFormat="1" ht="45" hidden="1" customHeight="1">
      <c r="A50" s="303">
        <v>934</v>
      </c>
      <c r="B50" s="311" t="s">
        <v>1127</v>
      </c>
      <c r="C50" s="305" t="s">
        <v>1074</v>
      </c>
      <c r="D50" s="326"/>
      <c r="E50" s="794"/>
      <c r="F50" s="794"/>
    </row>
    <row r="51" spans="1:8" s="309" customFormat="1" ht="53.25" hidden="1" customHeight="1">
      <c r="A51" s="754">
        <v>934</v>
      </c>
      <c r="B51" s="755" t="s">
        <v>607</v>
      </c>
      <c r="C51" s="756" t="s">
        <v>1036</v>
      </c>
      <c r="D51" s="326"/>
      <c r="E51" s="794"/>
      <c r="F51" s="794"/>
    </row>
    <row r="52" spans="1:8" s="309" customFormat="1" ht="31.5">
      <c r="A52" s="303">
        <v>934</v>
      </c>
      <c r="B52" s="311" t="s">
        <v>1125</v>
      </c>
      <c r="C52" s="305" t="s">
        <v>995</v>
      </c>
      <c r="D52" s="326">
        <v>21600</v>
      </c>
      <c r="E52" s="794" t="s">
        <v>1181</v>
      </c>
      <c r="F52" s="794"/>
    </row>
    <row r="53" spans="1:8" s="309" customFormat="1" ht="84" customHeight="1">
      <c r="A53" s="303">
        <v>936</v>
      </c>
      <c r="B53" s="311" t="s">
        <v>607</v>
      </c>
      <c r="C53" s="305" t="s">
        <v>998</v>
      </c>
      <c r="D53" s="326">
        <v>253.9</v>
      </c>
      <c r="E53" s="794"/>
      <c r="F53" s="794"/>
    </row>
    <row r="54" spans="1:8" s="309" customFormat="1" ht="31.5">
      <c r="A54" s="300">
        <v>0</v>
      </c>
      <c r="B54" s="301" t="s">
        <v>477</v>
      </c>
      <c r="C54" s="314" t="s">
        <v>233</v>
      </c>
      <c r="D54" s="327">
        <f>SUM(D55:D81)</f>
        <v>376636.4</v>
      </c>
      <c r="E54" s="797"/>
      <c r="F54" s="797"/>
      <c r="G54" s="310"/>
      <c r="H54" s="310"/>
    </row>
    <row r="55" spans="1:8" s="309" customFormat="1" ht="47.25">
      <c r="A55" s="306">
        <v>934</v>
      </c>
      <c r="B55" s="402" t="s">
        <v>620</v>
      </c>
      <c r="C55" s="411" t="s">
        <v>580</v>
      </c>
      <c r="D55" s="326">
        <v>112.2</v>
      </c>
      <c r="E55" s="798"/>
      <c r="F55" s="798"/>
      <c r="G55" s="310"/>
      <c r="H55" s="310"/>
    </row>
    <row r="56" spans="1:8" s="309" customFormat="1" ht="69.75" customHeight="1">
      <c r="A56" s="303">
        <v>936</v>
      </c>
      <c r="B56" s="304" t="s">
        <v>628</v>
      </c>
      <c r="C56" s="305" t="s">
        <v>581</v>
      </c>
      <c r="D56" s="461">
        <v>5652</v>
      </c>
      <c r="E56" s="799"/>
      <c r="F56" s="799"/>
      <c r="G56" s="310"/>
      <c r="H56" s="310"/>
    </row>
    <row r="57" spans="1:8" s="309" customFormat="1" ht="31.5">
      <c r="A57" s="303">
        <v>934</v>
      </c>
      <c r="B57" s="304" t="s">
        <v>608</v>
      </c>
      <c r="C57" s="611" t="s">
        <v>689</v>
      </c>
      <c r="D57" s="461">
        <v>320</v>
      </c>
      <c r="E57" s="799"/>
      <c r="F57" s="799"/>
      <c r="G57" s="310"/>
      <c r="H57" s="310"/>
    </row>
    <row r="58" spans="1:8" s="309" customFormat="1" ht="31.5">
      <c r="A58" s="303">
        <v>934</v>
      </c>
      <c r="B58" s="304" t="s">
        <v>608</v>
      </c>
      <c r="C58" s="611" t="s">
        <v>582</v>
      </c>
      <c r="D58" s="461">
        <v>1.7</v>
      </c>
      <c r="E58" s="799"/>
      <c r="F58" s="799"/>
      <c r="G58" s="310"/>
      <c r="H58" s="310"/>
    </row>
    <row r="59" spans="1:8" s="309" customFormat="1" ht="31.5">
      <c r="A59" s="303">
        <v>931</v>
      </c>
      <c r="B59" s="304" t="s">
        <v>608</v>
      </c>
      <c r="C59" s="315" t="s">
        <v>583</v>
      </c>
      <c r="D59" s="461">
        <v>96.3</v>
      </c>
      <c r="E59" s="799"/>
      <c r="F59" s="799"/>
      <c r="G59" s="310"/>
      <c r="H59" s="310"/>
    </row>
    <row r="60" spans="1:8" s="309" customFormat="1" ht="173.25">
      <c r="A60" s="303">
        <v>934</v>
      </c>
      <c r="B60" s="304" t="s">
        <v>608</v>
      </c>
      <c r="C60" s="305" t="s">
        <v>714</v>
      </c>
      <c r="D60" s="461">
        <v>587</v>
      </c>
      <c r="E60" s="799"/>
      <c r="F60" s="799"/>
      <c r="G60" s="310"/>
      <c r="H60" s="310"/>
    </row>
    <row r="61" spans="1:8" s="309" customFormat="1" ht="173.25">
      <c r="A61" s="303">
        <v>934</v>
      </c>
      <c r="B61" s="304" t="s">
        <v>608</v>
      </c>
      <c r="C61" s="305" t="s">
        <v>714</v>
      </c>
      <c r="D61" s="461">
        <v>228.5</v>
      </c>
      <c r="E61" s="799"/>
      <c r="F61" s="799"/>
      <c r="G61" s="310"/>
      <c r="H61" s="310"/>
    </row>
    <row r="62" spans="1:8" s="309" customFormat="1" ht="49.5" customHeight="1">
      <c r="A62" s="303">
        <v>934</v>
      </c>
      <c r="B62" s="304" t="s">
        <v>608</v>
      </c>
      <c r="C62" s="305" t="s">
        <v>1000</v>
      </c>
      <c r="D62" s="461">
        <v>3</v>
      </c>
      <c r="E62" s="799"/>
      <c r="F62" s="799"/>
      <c r="G62" s="310"/>
      <c r="H62" s="310"/>
    </row>
    <row r="63" spans="1:8" s="309" customFormat="1" ht="31.5">
      <c r="A63" s="303">
        <v>934</v>
      </c>
      <c r="B63" s="304" t="s">
        <v>608</v>
      </c>
      <c r="C63" s="305" t="s">
        <v>585</v>
      </c>
      <c r="D63" s="461">
        <v>1674.6</v>
      </c>
      <c r="E63" s="799"/>
      <c r="F63" s="799"/>
      <c r="G63" s="310"/>
      <c r="H63" s="310"/>
    </row>
    <row r="64" spans="1:8" s="309" customFormat="1" ht="36.75" customHeight="1">
      <c r="A64" s="303">
        <v>934</v>
      </c>
      <c r="B64" s="304" t="s">
        <v>608</v>
      </c>
      <c r="C64" s="305" t="s">
        <v>586</v>
      </c>
      <c r="D64" s="461">
        <v>25.1</v>
      </c>
      <c r="E64" s="799"/>
      <c r="F64" s="799"/>
      <c r="G64" s="310"/>
      <c r="H64" s="310"/>
    </row>
    <row r="65" spans="1:8" s="309" customFormat="1" ht="31.5">
      <c r="A65" s="303">
        <v>934</v>
      </c>
      <c r="B65" s="304" t="s">
        <v>608</v>
      </c>
      <c r="C65" s="305" t="s">
        <v>587</v>
      </c>
      <c r="D65" s="461">
        <v>280</v>
      </c>
      <c r="E65" s="799"/>
      <c r="F65" s="799"/>
      <c r="G65" s="310"/>
      <c r="H65" s="310"/>
    </row>
    <row r="66" spans="1:8" s="309" customFormat="1" ht="33.75" customHeight="1">
      <c r="A66" s="303">
        <v>934</v>
      </c>
      <c r="B66" s="304" t="s">
        <v>608</v>
      </c>
      <c r="C66" s="305" t="s">
        <v>588</v>
      </c>
      <c r="D66" s="461">
        <v>1378.7</v>
      </c>
      <c r="E66" s="799"/>
      <c r="F66" s="799"/>
      <c r="G66" s="310"/>
      <c r="H66" s="310"/>
    </row>
    <row r="67" spans="1:8" s="309" customFormat="1" ht="31.5">
      <c r="A67" s="303">
        <v>934</v>
      </c>
      <c r="B67" s="304" t="s">
        <v>608</v>
      </c>
      <c r="C67" s="305" t="s">
        <v>589</v>
      </c>
      <c r="D67" s="461">
        <v>230.5</v>
      </c>
      <c r="E67" s="799"/>
      <c r="F67" s="799"/>
      <c r="G67" s="310"/>
      <c r="H67" s="310"/>
    </row>
    <row r="68" spans="1:8" s="309" customFormat="1" ht="47.25">
      <c r="A68" s="303">
        <v>934</v>
      </c>
      <c r="B68" s="304" t="s">
        <v>608</v>
      </c>
      <c r="C68" s="305" t="s">
        <v>590</v>
      </c>
      <c r="D68" s="461">
        <v>894</v>
      </c>
      <c r="E68" s="799"/>
      <c r="F68" s="799"/>
      <c r="G68" s="310"/>
      <c r="H68" s="310"/>
    </row>
    <row r="69" spans="1:8" s="309" customFormat="1" ht="47.25">
      <c r="A69" s="303">
        <v>934</v>
      </c>
      <c r="B69" s="304" t="s">
        <v>608</v>
      </c>
      <c r="C69" s="305" t="s">
        <v>591</v>
      </c>
      <c r="D69" s="461">
        <v>1378.7</v>
      </c>
      <c r="E69" s="799"/>
      <c r="F69" s="799"/>
    </row>
    <row r="70" spans="1:8" s="309" customFormat="1" ht="47.25">
      <c r="A70" s="303">
        <v>934</v>
      </c>
      <c r="B70" s="304" t="s">
        <v>608</v>
      </c>
      <c r="C70" s="305" t="s">
        <v>1076</v>
      </c>
      <c r="D70" s="461">
        <v>151</v>
      </c>
      <c r="E70" s="799"/>
      <c r="F70" s="799"/>
    </row>
    <row r="71" spans="1:8" s="309" customFormat="1" ht="59.25" customHeight="1">
      <c r="A71" s="303">
        <v>934</v>
      </c>
      <c r="B71" s="304" t="s">
        <v>608</v>
      </c>
      <c r="C71" s="305" t="s">
        <v>1077</v>
      </c>
      <c r="D71" s="461">
        <v>22.6</v>
      </c>
      <c r="E71" s="799"/>
      <c r="F71" s="799"/>
    </row>
    <row r="72" spans="1:8" s="309" customFormat="1" ht="78.75">
      <c r="A72" s="303">
        <v>936</v>
      </c>
      <c r="B72" s="304" t="s">
        <v>608</v>
      </c>
      <c r="C72" s="305" t="s">
        <v>999</v>
      </c>
      <c r="D72" s="461">
        <v>84.8</v>
      </c>
      <c r="E72" s="799"/>
      <c r="F72" s="799"/>
    </row>
    <row r="73" spans="1:8" s="309" customFormat="1" ht="47.25">
      <c r="A73" s="303">
        <v>936</v>
      </c>
      <c r="B73" s="304" t="s">
        <v>608</v>
      </c>
      <c r="C73" s="305" t="s">
        <v>681</v>
      </c>
      <c r="D73" s="461">
        <v>48.3</v>
      </c>
      <c r="E73" s="799"/>
      <c r="F73" s="799"/>
    </row>
    <row r="74" spans="1:8" s="309" customFormat="1" ht="63">
      <c r="A74" s="303">
        <v>936</v>
      </c>
      <c r="B74" s="304" t="s">
        <v>608</v>
      </c>
      <c r="C74" s="305" t="s">
        <v>592</v>
      </c>
      <c r="D74" s="461">
        <v>268960.7</v>
      </c>
      <c r="E74" s="799"/>
      <c r="F74" s="799"/>
    </row>
    <row r="75" spans="1:8" s="309" customFormat="1" ht="173.25">
      <c r="A75" s="303">
        <v>936</v>
      </c>
      <c r="B75" s="304" t="s">
        <v>608</v>
      </c>
      <c r="C75" s="305" t="s">
        <v>714</v>
      </c>
      <c r="D75" s="461">
        <v>3000</v>
      </c>
      <c r="E75" s="799"/>
      <c r="F75" s="799"/>
    </row>
    <row r="76" spans="1:8" s="309" customFormat="1" ht="31.5">
      <c r="A76" s="303">
        <v>936</v>
      </c>
      <c r="B76" s="304" t="s">
        <v>608</v>
      </c>
      <c r="C76" s="305" t="s">
        <v>593</v>
      </c>
      <c r="D76" s="461">
        <v>84430.9</v>
      </c>
      <c r="E76" s="799"/>
      <c r="F76" s="799"/>
    </row>
    <row r="77" spans="1:8" s="309" customFormat="1" ht="31.5">
      <c r="A77" s="311">
        <v>936</v>
      </c>
      <c r="B77" s="304" t="s">
        <v>629</v>
      </c>
      <c r="C77" s="305" t="s">
        <v>594</v>
      </c>
      <c r="D77" s="461">
        <v>3714.7</v>
      </c>
      <c r="E77" s="799"/>
      <c r="F77" s="799"/>
    </row>
    <row r="78" spans="1:8" s="309" customFormat="1" ht="31.5">
      <c r="A78" s="311">
        <v>936</v>
      </c>
      <c r="B78" s="304" t="s">
        <v>629</v>
      </c>
      <c r="C78" s="305" t="s">
        <v>595</v>
      </c>
      <c r="D78" s="461">
        <v>55.7</v>
      </c>
      <c r="E78" s="799"/>
      <c r="F78" s="799"/>
    </row>
    <row r="79" spans="1:8" s="309" customFormat="1" ht="47.25">
      <c r="A79" s="311">
        <v>934</v>
      </c>
      <c r="B79" s="304" t="s">
        <v>629</v>
      </c>
      <c r="C79" s="756" t="s">
        <v>1037</v>
      </c>
      <c r="D79" s="902">
        <v>83.7</v>
      </c>
      <c r="E79" s="800"/>
      <c r="F79" s="800"/>
    </row>
    <row r="80" spans="1:8" s="309" customFormat="1" ht="31.5" hidden="1">
      <c r="A80" s="311">
        <v>934</v>
      </c>
      <c r="B80" s="304" t="s">
        <v>1129</v>
      </c>
      <c r="C80" s="757" t="s">
        <v>1038</v>
      </c>
      <c r="D80" s="902"/>
      <c r="E80" s="800"/>
      <c r="F80" s="800"/>
    </row>
    <row r="81" spans="1:6" s="309" customFormat="1" ht="94.5">
      <c r="A81" s="303">
        <v>936</v>
      </c>
      <c r="B81" s="304" t="s">
        <v>629</v>
      </c>
      <c r="C81" s="313" t="s">
        <v>1001</v>
      </c>
      <c r="D81" s="461">
        <v>3221.7</v>
      </c>
      <c r="E81" s="799"/>
      <c r="F81" s="799"/>
    </row>
    <row r="82" spans="1:6" s="309" customFormat="1">
      <c r="A82" s="300">
        <v>0</v>
      </c>
      <c r="B82" s="301" t="s">
        <v>478</v>
      </c>
      <c r="C82" s="316" t="s">
        <v>234</v>
      </c>
      <c r="D82" s="324">
        <f>SUM(D83:D96)</f>
        <v>39789.800000000003</v>
      </c>
      <c r="E82" s="795"/>
      <c r="F82" s="795"/>
    </row>
    <row r="83" spans="1:6" s="309" customFormat="1" ht="47.25">
      <c r="A83" s="303">
        <v>931</v>
      </c>
      <c r="B83" s="304" t="s">
        <v>609</v>
      </c>
      <c r="C83" s="313" t="s">
        <v>189</v>
      </c>
      <c r="D83" s="495">
        <v>4754.6000000000004</v>
      </c>
      <c r="E83" s="796"/>
      <c r="F83" s="796"/>
    </row>
    <row r="84" spans="1:6" s="309" customFormat="1" ht="31.5" hidden="1">
      <c r="A84" s="303">
        <v>934</v>
      </c>
      <c r="B84" s="738" t="s">
        <v>614</v>
      </c>
      <c r="C84" s="313" t="s">
        <v>1002</v>
      </c>
      <c r="D84" s="495"/>
      <c r="E84" s="796"/>
      <c r="F84" s="796"/>
    </row>
    <row r="85" spans="1:6" s="309" customFormat="1" ht="47.25" hidden="1">
      <c r="A85" s="303">
        <v>936</v>
      </c>
      <c r="B85" s="738" t="s">
        <v>614</v>
      </c>
      <c r="C85" s="313" t="s">
        <v>1182</v>
      </c>
      <c r="D85" s="495"/>
      <c r="E85" s="796"/>
      <c r="F85" s="796"/>
    </row>
    <row r="86" spans="1:6" s="309" customFormat="1" ht="63" hidden="1">
      <c r="A86" s="303">
        <v>934</v>
      </c>
      <c r="B86" s="304" t="s">
        <v>614</v>
      </c>
      <c r="C86" s="313" t="s">
        <v>1123</v>
      </c>
      <c r="D86" s="495"/>
      <c r="E86" s="796"/>
      <c r="F86" s="796"/>
    </row>
    <row r="87" spans="1:6" s="309" customFormat="1" ht="49.5" customHeight="1">
      <c r="A87" s="303">
        <v>936</v>
      </c>
      <c r="B87" s="609" t="s">
        <v>748</v>
      </c>
      <c r="C87" s="307" t="s">
        <v>747</v>
      </c>
      <c r="D87" s="495">
        <v>34384.9</v>
      </c>
      <c r="E87" s="796"/>
      <c r="F87" s="796"/>
    </row>
    <row r="88" spans="1:6" s="309" customFormat="1" ht="49.5" customHeight="1">
      <c r="A88" s="303">
        <v>936</v>
      </c>
      <c r="B88" s="304" t="s">
        <v>614</v>
      </c>
      <c r="C88" s="307" t="s">
        <v>747</v>
      </c>
      <c r="D88" s="495">
        <v>650.29999999999995</v>
      </c>
      <c r="E88" s="796"/>
      <c r="F88" s="796"/>
    </row>
    <row r="89" spans="1:6" s="309" customFormat="1" ht="52.5" hidden="1" customHeight="1">
      <c r="A89" s="303">
        <v>936</v>
      </c>
      <c r="B89" s="304" t="s">
        <v>614</v>
      </c>
      <c r="C89" s="313" t="s">
        <v>1063</v>
      </c>
      <c r="D89" s="325"/>
      <c r="E89" s="794"/>
      <c r="F89" s="794"/>
    </row>
    <row r="90" spans="1:6" s="309" customFormat="1" ht="52.5" hidden="1" customHeight="1">
      <c r="A90" s="303">
        <v>934</v>
      </c>
      <c r="B90" s="609" t="s">
        <v>614</v>
      </c>
      <c r="C90" s="313" t="s">
        <v>1120</v>
      </c>
      <c r="D90" s="325"/>
      <c r="E90" s="794"/>
      <c r="F90" s="794"/>
    </row>
    <row r="91" spans="1:6" s="309" customFormat="1" ht="38.25" hidden="1" customHeight="1">
      <c r="A91" s="303">
        <v>934</v>
      </c>
      <c r="B91" s="304" t="s">
        <v>614</v>
      </c>
      <c r="C91" s="313" t="s">
        <v>732</v>
      </c>
      <c r="D91" s="495"/>
      <c r="E91" s="796"/>
      <c r="F91" s="796"/>
    </row>
    <row r="92" spans="1:6" s="309" customFormat="1" ht="31.5" hidden="1">
      <c r="A92" s="303">
        <v>934</v>
      </c>
      <c r="B92" s="304" t="s">
        <v>614</v>
      </c>
      <c r="C92" s="313" t="s">
        <v>1110</v>
      </c>
      <c r="D92" s="495"/>
      <c r="E92" s="796"/>
      <c r="F92" s="796"/>
    </row>
    <row r="93" spans="1:6" s="309" customFormat="1" ht="33" hidden="1" customHeight="1">
      <c r="A93" s="303">
        <v>934</v>
      </c>
      <c r="B93" s="304" t="s">
        <v>614</v>
      </c>
      <c r="C93" s="313" t="s">
        <v>1110</v>
      </c>
      <c r="D93" s="325"/>
      <c r="E93" s="794"/>
      <c r="F93" s="794"/>
    </row>
    <row r="94" spans="1:6" s="309" customFormat="1" ht="31.5" hidden="1">
      <c r="A94" s="303">
        <v>934</v>
      </c>
      <c r="B94" s="304" t="s">
        <v>614</v>
      </c>
      <c r="C94" s="313" t="s">
        <v>1110</v>
      </c>
      <c r="D94" s="325"/>
      <c r="E94" s="794"/>
      <c r="F94" s="794"/>
    </row>
    <row r="95" spans="1:6" s="309" customFormat="1" ht="31.5" hidden="1">
      <c r="A95" s="303">
        <v>934</v>
      </c>
      <c r="B95" s="738" t="s">
        <v>614</v>
      </c>
      <c r="C95" s="780" t="s">
        <v>1049</v>
      </c>
      <c r="D95" s="325"/>
      <c r="E95" s="794"/>
      <c r="F95" s="794"/>
    </row>
    <row r="96" spans="1:6" s="309" customFormat="1" ht="33" hidden="1" customHeight="1">
      <c r="A96" s="303">
        <v>934</v>
      </c>
      <c r="B96" s="609" t="s">
        <v>658</v>
      </c>
      <c r="C96" s="610" t="s">
        <v>659</v>
      </c>
      <c r="D96" s="325"/>
      <c r="E96" s="794"/>
      <c r="F96" s="794"/>
    </row>
    <row r="97" spans="1:11" s="309" customFormat="1" ht="51.75" hidden="1" customHeight="1">
      <c r="A97" s="381"/>
      <c r="B97" s="171" t="s">
        <v>648</v>
      </c>
      <c r="C97" s="491" t="s">
        <v>632</v>
      </c>
      <c r="D97" s="560">
        <f>D98+D100+D102+D99+D101+D103+D104</f>
        <v>0</v>
      </c>
      <c r="E97" s="801"/>
      <c r="F97" s="801"/>
    </row>
    <row r="98" spans="1:11" s="309" customFormat="1" ht="51.75" hidden="1" customHeight="1">
      <c r="A98" s="559">
        <v>934</v>
      </c>
      <c r="B98" s="561" t="s">
        <v>610</v>
      </c>
      <c r="C98" s="313" t="s">
        <v>1039</v>
      </c>
      <c r="D98" s="325"/>
      <c r="E98" s="794"/>
      <c r="F98" s="794"/>
      <c r="G98" s="299"/>
      <c r="H98" s="299"/>
      <c r="I98" s="154"/>
      <c r="J98" s="154"/>
      <c r="K98" s="154"/>
    </row>
    <row r="99" spans="1:11" ht="55.5" hidden="1" customHeight="1">
      <c r="A99" s="559">
        <v>934</v>
      </c>
      <c r="B99" s="561" t="s">
        <v>610</v>
      </c>
      <c r="C99" s="313" t="s">
        <v>1039</v>
      </c>
      <c r="D99" s="325"/>
      <c r="E99" s="794"/>
      <c r="F99" s="794"/>
    </row>
    <row r="100" spans="1:11" ht="63" hidden="1">
      <c r="A100" s="559">
        <v>934</v>
      </c>
      <c r="B100" s="561" t="s">
        <v>610</v>
      </c>
      <c r="C100" s="313" t="s">
        <v>1041</v>
      </c>
      <c r="D100" s="325"/>
      <c r="E100" s="794"/>
      <c r="F100" s="794"/>
    </row>
    <row r="101" spans="1:11" ht="35.25" hidden="1" customHeight="1">
      <c r="A101" s="559">
        <v>934</v>
      </c>
      <c r="B101" s="561" t="s">
        <v>610</v>
      </c>
      <c r="C101" s="313" t="s">
        <v>1040</v>
      </c>
      <c r="D101" s="325"/>
      <c r="E101" s="794"/>
      <c r="F101" s="794"/>
    </row>
    <row r="102" spans="1:11" ht="31.5" hidden="1">
      <c r="A102" s="559">
        <v>934</v>
      </c>
      <c r="B102" s="561" t="s">
        <v>610</v>
      </c>
      <c r="C102" s="313" t="s">
        <v>1040</v>
      </c>
      <c r="D102" s="325"/>
      <c r="E102" s="794"/>
      <c r="F102" s="794"/>
    </row>
    <row r="103" spans="1:11" ht="47.25" hidden="1">
      <c r="A103" s="559">
        <v>936</v>
      </c>
      <c r="B103" s="561" t="s">
        <v>610</v>
      </c>
      <c r="C103" s="313" t="s">
        <v>1130</v>
      </c>
      <c r="D103" s="325"/>
      <c r="E103" s="794"/>
      <c r="F103" s="794"/>
    </row>
    <row r="104" spans="1:11" ht="47.25" hidden="1">
      <c r="A104" s="559">
        <v>936</v>
      </c>
      <c r="B104" s="561" t="s">
        <v>610</v>
      </c>
      <c r="C104" s="313" t="s">
        <v>1131</v>
      </c>
      <c r="D104" s="325"/>
      <c r="E104" s="794"/>
      <c r="F104" s="794"/>
    </row>
    <row r="105" spans="1:11" ht="47.25" hidden="1">
      <c r="A105" s="493"/>
      <c r="B105" s="494" t="s">
        <v>647</v>
      </c>
      <c r="C105" s="491" t="s">
        <v>79</v>
      </c>
      <c r="D105" s="327">
        <f>SUM(D106:D117)</f>
        <v>0</v>
      </c>
      <c r="E105" s="797"/>
      <c r="F105" s="797"/>
    </row>
    <row r="106" spans="1:11" ht="63" hidden="1">
      <c r="A106" s="170">
        <v>936</v>
      </c>
      <c r="B106" s="492" t="s">
        <v>611</v>
      </c>
      <c r="C106" s="206" t="s">
        <v>1042</v>
      </c>
      <c r="D106" s="325"/>
      <c r="E106" s="794"/>
      <c r="F106" s="794"/>
    </row>
    <row r="107" spans="1:11" ht="78.75" hidden="1">
      <c r="A107" s="170">
        <v>936</v>
      </c>
      <c r="B107" s="492" t="s">
        <v>611</v>
      </c>
      <c r="C107" s="206" t="s">
        <v>1043</v>
      </c>
      <c r="D107" s="325"/>
      <c r="E107" s="794"/>
      <c r="F107" s="794"/>
    </row>
    <row r="108" spans="1:11" ht="63" hidden="1">
      <c r="A108" s="170">
        <v>936</v>
      </c>
      <c r="B108" s="492" t="s">
        <v>611</v>
      </c>
      <c r="C108" s="206" t="s">
        <v>1044</v>
      </c>
      <c r="D108" s="325"/>
      <c r="E108" s="794"/>
      <c r="F108" s="794"/>
    </row>
    <row r="109" spans="1:11" ht="189" hidden="1">
      <c r="A109" s="170">
        <v>936</v>
      </c>
      <c r="B109" s="492" t="s">
        <v>611</v>
      </c>
      <c r="C109" s="206" t="s">
        <v>1045</v>
      </c>
      <c r="D109" s="325"/>
      <c r="E109" s="794"/>
      <c r="F109" s="794"/>
    </row>
    <row r="110" spans="1:11" ht="63" hidden="1">
      <c r="A110" s="170">
        <v>936</v>
      </c>
      <c r="B110" s="492" t="s">
        <v>611</v>
      </c>
      <c r="C110" s="206" t="s">
        <v>1046</v>
      </c>
      <c r="D110" s="325"/>
      <c r="E110" s="794"/>
      <c r="F110" s="794"/>
    </row>
    <row r="111" spans="1:11" ht="31.5" hidden="1">
      <c r="A111" s="170">
        <v>934</v>
      </c>
      <c r="B111" s="492" t="s">
        <v>611</v>
      </c>
      <c r="C111" s="206" t="s">
        <v>1047</v>
      </c>
      <c r="D111" s="495"/>
      <c r="E111" s="796"/>
      <c r="F111" s="796"/>
    </row>
    <row r="112" spans="1:11" ht="39" hidden="1" customHeight="1">
      <c r="A112" s="170">
        <v>934</v>
      </c>
      <c r="B112" s="492" t="s">
        <v>611</v>
      </c>
      <c r="C112" s="206" t="s">
        <v>1047</v>
      </c>
      <c r="D112" s="495"/>
      <c r="E112" s="796"/>
      <c r="F112" s="796"/>
    </row>
    <row r="113" spans="1:14" ht="63" hidden="1">
      <c r="A113" s="170">
        <v>934</v>
      </c>
      <c r="B113" s="492" t="s">
        <v>611</v>
      </c>
      <c r="C113" s="313" t="s">
        <v>1041</v>
      </c>
      <c r="D113" s="325"/>
      <c r="E113" s="794"/>
      <c r="F113" s="794"/>
      <c r="N113" s="378"/>
    </row>
    <row r="114" spans="1:14" ht="31.5" hidden="1">
      <c r="A114" s="170">
        <v>934</v>
      </c>
      <c r="B114" s="492" t="s">
        <v>611</v>
      </c>
      <c r="C114" s="313" t="s">
        <v>1040</v>
      </c>
      <c r="D114" s="325"/>
      <c r="E114" s="794"/>
      <c r="F114" s="794"/>
      <c r="N114" s="378"/>
    </row>
    <row r="115" spans="1:14" ht="31.5" hidden="1">
      <c r="A115" s="170">
        <v>934</v>
      </c>
      <c r="B115" s="492" t="s">
        <v>611</v>
      </c>
      <c r="C115" s="313" t="s">
        <v>1040</v>
      </c>
      <c r="D115" s="325"/>
      <c r="E115" s="794"/>
      <c r="F115" s="794"/>
      <c r="N115" s="378"/>
    </row>
    <row r="116" spans="1:14" ht="189" hidden="1">
      <c r="A116" s="170">
        <v>934</v>
      </c>
      <c r="B116" s="492" t="s">
        <v>611</v>
      </c>
      <c r="C116" s="206" t="s">
        <v>1045</v>
      </c>
      <c r="D116" s="495"/>
      <c r="E116" s="796"/>
      <c r="F116" s="796"/>
    </row>
    <row r="117" spans="1:14" ht="53.25" hidden="1" customHeight="1">
      <c r="A117" s="153">
        <v>936</v>
      </c>
      <c r="B117" s="492" t="s">
        <v>611</v>
      </c>
      <c r="C117" s="313" t="s">
        <v>1130</v>
      </c>
      <c r="D117" s="783"/>
      <c r="E117" s="802"/>
      <c r="F117" s="802"/>
    </row>
    <row r="120" spans="1:14" ht="31.5">
      <c r="F120" s="793" t="s">
        <v>204</v>
      </c>
      <c r="G120" s="318" t="s">
        <v>434</v>
      </c>
      <c r="H120" s="319" t="s">
        <v>435</v>
      </c>
      <c r="I120" s="319" t="s">
        <v>119</v>
      </c>
      <c r="J120" s="319" t="s">
        <v>255</v>
      </c>
    </row>
    <row r="121" spans="1:14">
      <c r="F121" s="803">
        <v>1</v>
      </c>
      <c r="G121" s="806">
        <v>3</v>
      </c>
      <c r="H121" s="806">
        <v>4</v>
      </c>
      <c r="I121" s="806">
        <v>5</v>
      </c>
      <c r="J121" s="806">
        <v>6</v>
      </c>
    </row>
    <row r="122" spans="1:14">
      <c r="F122" s="807" t="s">
        <v>1143</v>
      </c>
      <c r="G122" s="425">
        <v>11.4</v>
      </c>
      <c r="H122" s="379">
        <v>222.7</v>
      </c>
      <c r="I122" s="808">
        <v>25.8</v>
      </c>
      <c r="J122" s="426">
        <f>G122+H122+I122</f>
        <v>259.89999999999998</v>
      </c>
    </row>
    <row r="123" spans="1:14">
      <c r="F123" s="807" t="s">
        <v>1144</v>
      </c>
      <c r="G123" s="425">
        <v>27.5</v>
      </c>
      <c r="H123" s="379">
        <v>222.7</v>
      </c>
      <c r="I123" s="808">
        <f>I122</f>
        <v>25.8</v>
      </c>
      <c r="J123" s="426">
        <f t="shared" ref="J123:J138" si="0">G123+H123+I123</f>
        <v>276</v>
      </c>
    </row>
    <row r="124" spans="1:14">
      <c r="F124" s="807" t="s">
        <v>1145</v>
      </c>
      <c r="G124" s="425">
        <v>12.8</v>
      </c>
      <c r="H124" s="379">
        <v>222.7</v>
      </c>
      <c r="I124" s="808">
        <f t="shared" ref="I124:I136" si="1">I123</f>
        <v>25.8</v>
      </c>
      <c r="J124" s="426">
        <f t="shared" si="0"/>
        <v>261.3</v>
      </c>
    </row>
    <row r="125" spans="1:14">
      <c r="F125" s="807" t="s">
        <v>1146</v>
      </c>
      <c r="G125" s="425">
        <v>8.1999999999999993</v>
      </c>
      <c r="H125" s="379">
        <v>222.7</v>
      </c>
      <c r="I125" s="808">
        <v>25.8</v>
      </c>
      <c r="J125" s="426">
        <f t="shared" si="0"/>
        <v>256.7</v>
      </c>
    </row>
    <row r="126" spans="1:14">
      <c r="F126" s="807" t="s">
        <v>1147</v>
      </c>
      <c r="G126" s="425">
        <v>26.7</v>
      </c>
      <c r="H126" s="379">
        <v>222.7</v>
      </c>
      <c r="I126" s="808">
        <v>25.9</v>
      </c>
      <c r="J126" s="426">
        <f t="shared" si="0"/>
        <v>275.29999999999995</v>
      </c>
    </row>
    <row r="127" spans="1:14">
      <c r="F127" s="807" t="s">
        <v>1148</v>
      </c>
      <c r="G127" s="425">
        <v>9.8000000000000007</v>
      </c>
      <c r="H127" s="379">
        <v>222.7</v>
      </c>
      <c r="I127" s="808">
        <v>25.8</v>
      </c>
      <c r="J127" s="426">
        <f t="shared" si="0"/>
        <v>258.3</v>
      </c>
    </row>
    <row r="128" spans="1:14">
      <c r="F128" s="807" t="s">
        <v>1149</v>
      </c>
      <c r="G128" s="425">
        <v>7.7</v>
      </c>
      <c r="H128" s="379">
        <v>222.7</v>
      </c>
      <c r="I128" s="808">
        <v>25.8</v>
      </c>
      <c r="J128" s="426">
        <f t="shared" si="0"/>
        <v>256.2</v>
      </c>
    </row>
    <row r="129" spans="6:10">
      <c r="F129" s="807" t="s">
        <v>1150</v>
      </c>
      <c r="G129" s="425">
        <v>7.5</v>
      </c>
      <c r="H129" s="379">
        <v>222.7</v>
      </c>
      <c r="I129" s="808">
        <f t="shared" si="1"/>
        <v>25.8</v>
      </c>
      <c r="J129" s="426">
        <f t="shared" si="0"/>
        <v>256</v>
      </c>
    </row>
    <row r="130" spans="6:10">
      <c r="F130" s="807" t="s">
        <v>1151</v>
      </c>
      <c r="G130" s="425">
        <v>7.1</v>
      </c>
      <c r="H130" s="379">
        <v>222.7</v>
      </c>
      <c r="I130" s="808">
        <v>25.8</v>
      </c>
      <c r="J130" s="426">
        <f t="shared" si="0"/>
        <v>255.6</v>
      </c>
    </row>
    <row r="131" spans="6:10">
      <c r="F131" s="807" t="s">
        <v>1152</v>
      </c>
      <c r="G131" s="425">
        <v>20.8</v>
      </c>
      <c r="H131" s="379">
        <v>222.7</v>
      </c>
      <c r="I131" s="808">
        <v>25.8</v>
      </c>
      <c r="J131" s="426">
        <f t="shared" si="0"/>
        <v>269.3</v>
      </c>
    </row>
    <row r="132" spans="6:10">
      <c r="F132" s="807" t="s">
        <v>1153</v>
      </c>
      <c r="G132" s="425">
        <v>29.4</v>
      </c>
      <c r="H132" s="379">
        <v>222.7</v>
      </c>
      <c r="I132" s="808">
        <v>25.9</v>
      </c>
      <c r="J132" s="426">
        <f t="shared" si="0"/>
        <v>278</v>
      </c>
    </row>
    <row r="133" spans="6:10">
      <c r="F133" s="807" t="s">
        <v>1154</v>
      </c>
      <c r="G133" s="425">
        <v>35.799999999999997</v>
      </c>
      <c r="H133" s="379">
        <v>222.7</v>
      </c>
      <c r="I133" s="808">
        <f t="shared" si="1"/>
        <v>25.9</v>
      </c>
      <c r="J133" s="426">
        <f t="shared" si="0"/>
        <v>284.39999999999998</v>
      </c>
    </row>
    <row r="134" spans="6:10">
      <c r="F134" s="807" t="s">
        <v>1155</v>
      </c>
      <c r="G134" s="425">
        <v>38.4</v>
      </c>
      <c r="H134" s="379">
        <v>222.7</v>
      </c>
      <c r="I134" s="808">
        <v>25.8</v>
      </c>
      <c r="J134" s="426">
        <f t="shared" si="0"/>
        <v>286.89999999999998</v>
      </c>
    </row>
    <row r="135" spans="6:10">
      <c r="F135" s="807" t="s">
        <v>1156</v>
      </c>
      <c r="G135" s="425">
        <v>13</v>
      </c>
      <c r="H135" s="379">
        <v>222.7</v>
      </c>
      <c r="I135" s="808">
        <v>25.8</v>
      </c>
      <c r="J135" s="426">
        <f t="shared" si="0"/>
        <v>261.5</v>
      </c>
    </row>
    <row r="136" spans="6:10">
      <c r="F136" s="807" t="s">
        <v>1157</v>
      </c>
      <c r="G136" s="425">
        <v>15.7</v>
      </c>
      <c r="H136" s="379">
        <v>222.7</v>
      </c>
      <c r="I136" s="808">
        <f t="shared" si="1"/>
        <v>25.8</v>
      </c>
      <c r="J136" s="426">
        <f t="shared" si="0"/>
        <v>264.2</v>
      </c>
    </row>
    <row r="137" spans="6:10">
      <c r="F137" s="804" t="s">
        <v>1158</v>
      </c>
      <c r="G137" s="427">
        <v>57.3</v>
      </c>
      <c r="H137" s="379">
        <v>222.7</v>
      </c>
      <c r="I137" s="379">
        <v>25.9</v>
      </c>
      <c r="J137" s="426">
        <f t="shared" si="0"/>
        <v>305.89999999999998</v>
      </c>
    </row>
    <row r="138" spans="6:10">
      <c r="F138" s="805" t="s">
        <v>4</v>
      </c>
      <c r="G138" s="478">
        <v>413.1</v>
      </c>
      <c r="H138" s="379"/>
      <c r="I138" s="379">
        <v>36</v>
      </c>
      <c r="J138" s="426">
        <f t="shared" si="0"/>
        <v>449.1</v>
      </c>
    </row>
    <row r="139" spans="6:10">
      <c r="F139" s="793"/>
      <c r="G139" s="377">
        <f>SUM(G122:G138)</f>
        <v>742.2</v>
      </c>
      <c r="H139" s="377">
        <f>SUM(H122:H138)</f>
        <v>3563.1999999999989</v>
      </c>
      <c r="I139" s="377">
        <f>SUM(I122:I138)</f>
        <v>449.2</v>
      </c>
      <c r="J139" s="419">
        <f>G139+H139+I139</f>
        <v>4754.5999999999985</v>
      </c>
    </row>
  </sheetData>
  <autoFilter ref="A9:D117"/>
  <mergeCells count="11">
    <mergeCell ref="C1:D1"/>
    <mergeCell ref="A9:A10"/>
    <mergeCell ref="B9:B10"/>
    <mergeCell ref="C9:C10"/>
    <mergeCell ref="D9:D10"/>
    <mergeCell ref="C2:D2"/>
    <mergeCell ref="C3:D3"/>
    <mergeCell ref="C4:D4"/>
    <mergeCell ref="C5:D5"/>
    <mergeCell ref="C6:D6"/>
    <mergeCell ref="B7:D7"/>
  </mergeCells>
  <phoneticPr fontId="16" type="noConversion"/>
  <pageMargins left="0.70866141732283472" right="0.70866141732283472" top="0.74803149606299213" bottom="0.74803149606299213"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sheetPr>
    <tabColor theme="0"/>
  </sheetPr>
  <dimension ref="A1:Z96"/>
  <sheetViews>
    <sheetView view="pageBreakPreview" topLeftCell="A34" zoomScale="80" zoomScaleSheetLayoutView="80" workbookViewId="0">
      <selection activeCell="I14" sqref="I14"/>
    </sheetView>
  </sheetViews>
  <sheetFormatPr defaultRowHeight="12.75"/>
  <cols>
    <col min="1" max="1" width="7.42578125" customWidth="1"/>
    <col min="2" max="2" width="29.7109375" customWidth="1"/>
    <col min="3" max="3" width="53.5703125" customWidth="1"/>
    <col min="4" max="4" width="17.7109375" customWidth="1"/>
    <col min="5" max="5" width="17.140625" customWidth="1"/>
    <col min="6" max="6" width="17.7109375" style="814" customWidth="1"/>
    <col min="7" max="7" width="17.140625" style="814" customWidth="1"/>
    <col min="8" max="8" width="17.140625" style="816" customWidth="1"/>
    <col min="9" max="9" width="19" style="816" customWidth="1"/>
    <col min="10" max="10" width="24" customWidth="1"/>
    <col min="12" max="18" width="13.42578125" customWidth="1"/>
    <col min="22" max="26" width="13.42578125" customWidth="1"/>
  </cols>
  <sheetData>
    <row r="1" spans="1:9" ht="15.75">
      <c r="A1" s="154"/>
      <c r="B1" s="154"/>
      <c r="C1" s="429"/>
      <c r="E1" s="429" t="s">
        <v>436</v>
      </c>
      <c r="G1" s="815"/>
    </row>
    <row r="2" spans="1:9" ht="15.75">
      <c r="A2" s="154"/>
      <c r="B2" s="154"/>
      <c r="C2" s="429"/>
      <c r="E2" s="429" t="s">
        <v>199</v>
      </c>
      <c r="G2" s="815"/>
    </row>
    <row r="3" spans="1:9" ht="15.75">
      <c r="A3" s="154"/>
      <c r="B3" s="154"/>
      <c r="C3" s="429"/>
      <c r="E3" s="429" t="s">
        <v>298</v>
      </c>
      <c r="G3" s="815"/>
    </row>
    <row r="4" spans="1:9" ht="15.75">
      <c r="A4" s="154"/>
      <c r="B4" s="154"/>
      <c r="C4" s="429"/>
      <c r="E4" s="892" t="s">
        <v>454</v>
      </c>
      <c r="G4" s="815"/>
    </row>
    <row r="5" spans="1:9" ht="15.75">
      <c r="A5" s="154"/>
      <c r="B5" s="154"/>
      <c r="C5" s="429"/>
      <c r="E5" s="787" t="s">
        <v>1132</v>
      </c>
      <c r="G5" s="815"/>
    </row>
    <row r="6" spans="1:9" ht="15.75">
      <c r="A6" s="154"/>
      <c r="B6" s="154"/>
      <c r="C6" s="429"/>
      <c r="E6" s="787" t="s">
        <v>1163</v>
      </c>
      <c r="G6" s="815"/>
    </row>
    <row r="7" spans="1:9" ht="15.75">
      <c r="A7" s="154"/>
      <c r="B7" s="154"/>
      <c r="C7" s="154"/>
    </row>
    <row r="8" spans="1:9" ht="31.5" customHeight="1">
      <c r="A8" s="154"/>
      <c r="B8" s="979" t="s">
        <v>1359</v>
      </c>
      <c r="C8" s="979"/>
      <c r="D8" s="979"/>
    </row>
    <row r="9" spans="1:9" ht="15.75">
      <c r="A9" s="154"/>
      <c r="B9" s="154"/>
      <c r="C9" s="154"/>
    </row>
    <row r="10" spans="1:9" ht="54" customHeight="1">
      <c r="A10" s="974" t="s">
        <v>297</v>
      </c>
      <c r="B10" s="974" t="s">
        <v>104</v>
      </c>
      <c r="C10" s="974" t="s">
        <v>204</v>
      </c>
      <c r="D10" s="977" t="s">
        <v>923</v>
      </c>
      <c r="E10" s="982" t="s">
        <v>1164</v>
      </c>
      <c r="F10" s="984"/>
      <c r="G10" s="984"/>
      <c r="H10" s="985"/>
      <c r="I10" s="985"/>
    </row>
    <row r="11" spans="1:9" ht="24" customHeight="1">
      <c r="A11" s="974"/>
      <c r="B11" s="974"/>
      <c r="C11" s="974"/>
      <c r="D11" s="978"/>
      <c r="E11" s="983"/>
      <c r="F11" s="984"/>
      <c r="G11" s="984"/>
      <c r="H11" s="985"/>
      <c r="I11" s="985"/>
    </row>
    <row r="12" spans="1:9" ht="47.25">
      <c r="A12" s="300">
        <v>0</v>
      </c>
      <c r="B12" s="301" t="s">
        <v>151</v>
      </c>
      <c r="C12" s="302" t="s">
        <v>57</v>
      </c>
      <c r="D12" s="324">
        <f>D13+D16+D44+D71</f>
        <v>757210.90000000014</v>
      </c>
      <c r="E12" s="809">
        <f>E13+E16+E44+E71</f>
        <v>698272.20000000007</v>
      </c>
      <c r="F12" s="795"/>
      <c r="G12" s="795"/>
      <c r="H12" s="817"/>
      <c r="I12" s="817"/>
    </row>
    <row r="13" spans="1:9" ht="47.25">
      <c r="A13" s="300">
        <v>931</v>
      </c>
      <c r="B13" s="301" t="s">
        <v>475</v>
      </c>
      <c r="C13" s="302" t="s">
        <v>231</v>
      </c>
      <c r="D13" s="324">
        <f>D14</f>
        <v>3450.5</v>
      </c>
      <c r="E13" s="809">
        <f>E14+E15</f>
        <v>6393.6</v>
      </c>
      <c r="F13" s="795"/>
      <c r="G13" s="795"/>
      <c r="H13" s="817"/>
      <c r="I13" s="817"/>
    </row>
    <row r="14" spans="1:9" ht="69" customHeight="1">
      <c r="A14" s="303">
        <v>931</v>
      </c>
      <c r="B14" s="304" t="s">
        <v>604</v>
      </c>
      <c r="C14" s="305" t="s">
        <v>682</v>
      </c>
      <c r="D14" s="326">
        <v>3450.5</v>
      </c>
      <c r="E14" s="811">
        <v>6393.6</v>
      </c>
      <c r="F14" s="794"/>
      <c r="G14" s="794"/>
      <c r="H14" s="817"/>
      <c r="I14" s="817"/>
    </row>
    <row r="15" spans="1:9" ht="47.25" hidden="1" customHeight="1">
      <c r="A15" s="303">
        <v>931</v>
      </c>
      <c r="B15" s="304" t="s">
        <v>462</v>
      </c>
      <c r="C15" s="305" t="s">
        <v>533</v>
      </c>
      <c r="D15" s="303"/>
      <c r="E15" s="810"/>
      <c r="F15" s="818"/>
      <c r="G15" s="794"/>
      <c r="H15" s="817"/>
      <c r="I15" s="817"/>
    </row>
    <row r="16" spans="1:9" ht="63">
      <c r="A16" s="300">
        <v>0</v>
      </c>
      <c r="B16" s="301" t="s">
        <v>476</v>
      </c>
      <c r="C16" s="302" t="s">
        <v>232</v>
      </c>
      <c r="D16" s="324">
        <f>SUM(D17:D43)</f>
        <v>337394.7</v>
      </c>
      <c r="E16" s="809">
        <f>SUM(E17:E43)</f>
        <v>269733.80000000005</v>
      </c>
      <c r="F16" s="795"/>
      <c r="G16" s="795"/>
      <c r="H16" s="817"/>
      <c r="I16" s="817"/>
    </row>
    <row r="17" spans="1:9" ht="63">
      <c r="A17" s="306">
        <v>934</v>
      </c>
      <c r="B17" s="410" t="s">
        <v>607</v>
      </c>
      <c r="C17" s="307" t="s">
        <v>683</v>
      </c>
      <c r="D17" s="326">
        <v>1819.8</v>
      </c>
      <c r="E17" s="811">
        <v>606.6</v>
      </c>
      <c r="F17" s="798"/>
      <c r="G17" s="798"/>
      <c r="H17" s="817"/>
      <c r="I17" s="817"/>
    </row>
    <row r="18" spans="1:9" ht="151.5" customHeight="1">
      <c r="A18" s="306">
        <v>934</v>
      </c>
      <c r="B18" s="410" t="s">
        <v>607</v>
      </c>
      <c r="C18" s="307" t="s">
        <v>684</v>
      </c>
      <c r="D18" s="326">
        <v>7380.8</v>
      </c>
      <c r="E18" s="811">
        <v>7380.8</v>
      </c>
      <c r="F18" s="798"/>
      <c r="G18" s="798"/>
      <c r="H18" s="817"/>
      <c r="I18" s="817"/>
    </row>
    <row r="19" spans="1:9" ht="86.25" hidden="1" customHeight="1">
      <c r="A19" s="306">
        <v>934</v>
      </c>
      <c r="B19" s="410" t="s">
        <v>607</v>
      </c>
      <c r="C19" s="307" t="s">
        <v>539</v>
      </c>
      <c r="D19" s="326"/>
      <c r="E19" s="811"/>
      <c r="F19" s="798"/>
      <c r="G19" s="798"/>
      <c r="H19" s="817"/>
      <c r="I19" s="817"/>
    </row>
    <row r="20" spans="1:9" ht="63">
      <c r="A20" s="306">
        <v>934</v>
      </c>
      <c r="B20" s="410" t="s">
        <v>607</v>
      </c>
      <c r="C20" s="307" t="s">
        <v>685</v>
      </c>
      <c r="D20" s="326">
        <v>166</v>
      </c>
      <c r="E20" s="811">
        <v>166</v>
      </c>
      <c r="F20" s="798"/>
      <c r="G20" s="798"/>
      <c r="H20" s="817"/>
      <c r="I20" s="817"/>
    </row>
    <row r="21" spans="1:9" ht="47.25">
      <c r="A21" s="306">
        <v>934</v>
      </c>
      <c r="B21" s="410" t="s">
        <v>607</v>
      </c>
      <c r="C21" s="307" t="s">
        <v>578</v>
      </c>
      <c r="D21" s="326">
        <v>656.4</v>
      </c>
      <c r="E21" s="811">
        <v>656.4</v>
      </c>
      <c r="F21" s="798"/>
      <c r="G21" s="798"/>
      <c r="H21" s="817"/>
      <c r="I21" s="817"/>
    </row>
    <row r="22" spans="1:9" ht="63">
      <c r="A22" s="306">
        <v>934</v>
      </c>
      <c r="B22" s="410" t="s">
        <v>607</v>
      </c>
      <c r="C22" s="307" t="s">
        <v>677</v>
      </c>
      <c r="D22" s="326">
        <v>21294</v>
      </c>
      <c r="E22" s="811">
        <v>21294</v>
      </c>
      <c r="F22" s="798"/>
      <c r="G22" s="798"/>
      <c r="H22" s="817"/>
      <c r="I22" s="817"/>
    </row>
    <row r="23" spans="1:9" ht="136.5" hidden="1" customHeight="1">
      <c r="A23" s="306">
        <v>934</v>
      </c>
      <c r="B23" s="410" t="s">
        <v>607</v>
      </c>
      <c r="C23" s="307" t="s">
        <v>676</v>
      </c>
      <c r="D23" s="326"/>
      <c r="E23" s="811"/>
      <c r="F23" s="798"/>
      <c r="G23" s="798"/>
      <c r="H23" s="817"/>
      <c r="I23" s="817"/>
    </row>
    <row r="24" spans="1:9" ht="63">
      <c r="A24" s="306">
        <v>934</v>
      </c>
      <c r="B24" s="410" t="s">
        <v>607</v>
      </c>
      <c r="C24" s="903" t="s">
        <v>1288</v>
      </c>
      <c r="D24" s="326">
        <v>500</v>
      </c>
      <c r="E24" s="811">
        <v>535.6</v>
      </c>
      <c r="F24" s="798"/>
      <c r="G24" s="798"/>
      <c r="H24" s="817"/>
      <c r="I24" s="817"/>
    </row>
    <row r="25" spans="1:9" ht="63">
      <c r="A25" s="306">
        <v>934</v>
      </c>
      <c r="B25" s="410" t="s">
        <v>607</v>
      </c>
      <c r="C25" s="903" t="s">
        <v>679</v>
      </c>
      <c r="D25" s="461">
        <v>170</v>
      </c>
      <c r="E25" s="811">
        <v>170</v>
      </c>
      <c r="F25" s="799"/>
      <c r="G25" s="798"/>
      <c r="H25" s="817"/>
      <c r="I25" s="817"/>
    </row>
    <row r="26" spans="1:9" ht="63" hidden="1">
      <c r="A26" s="306">
        <v>934</v>
      </c>
      <c r="B26" s="410" t="s">
        <v>607</v>
      </c>
      <c r="C26" s="307" t="s">
        <v>740</v>
      </c>
      <c r="D26" s="461">
        <v>0</v>
      </c>
      <c r="E26" s="811">
        <v>0</v>
      </c>
      <c r="F26" s="799"/>
      <c r="G26" s="798"/>
      <c r="H26" s="817"/>
      <c r="I26" s="817"/>
    </row>
    <row r="27" spans="1:9" ht="78.75">
      <c r="A27" s="306">
        <v>936</v>
      </c>
      <c r="B27" s="410" t="s">
        <v>607</v>
      </c>
      <c r="C27" s="903" t="s">
        <v>680</v>
      </c>
      <c r="D27" s="461">
        <v>614</v>
      </c>
      <c r="E27" s="811">
        <v>614</v>
      </c>
      <c r="F27" s="799"/>
      <c r="G27" s="798"/>
      <c r="H27" s="817"/>
      <c r="I27" s="817"/>
    </row>
    <row r="28" spans="1:9" ht="63">
      <c r="A28" s="306">
        <v>936</v>
      </c>
      <c r="B28" s="410" t="s">
        <v>607</v>
      </c>
      <c r="C28" s="307" t="s">
        <v>993</v>
      </c>
      <c r="D28" s="455">
        <v>10644.2</v>
      </c>
      <c r="E28" s="811">
        <v>10644.2</v>
      </c>
      <c r="F28" s="819"/>
      <c r="G28" s="798"/>
      <c r="H28" s="817"/>
      <c r="I28" s="817"/>
    </row>
    <row r="29" spans="1:9" ht="83.25" customHeight="1">
      <c r="A29" s="306">
        <v>936</v>
      </c>
      <c r="B29" s="410" t="s">
        <v>607</v>
      </c>
      <c r="C29" s="307" t="s">
        <v>742</v>
      </c>
      <c r="D29" s="455">
        <v>26319.3</v>
      </c>
      <c r="E29" s="811">
        <v>26319.3</v>
      </c>
      <c r="F29" s="819"/>
      <c r="G29" s="798"/>
      <c r="H29" s="817"/>
      <c r="I29" s="817"/>
    </row>
    <row r="30" spans="1:9" ht="83.25" hidden="1" customHeight="1">
      <c r="A30" s="306">
        <v>936</v>
      </c>
      <c r="B30" s="410" t="s">
        <v>607</v>
      </c>
      <c r="C30" s="307" t="s">
        <v>1003</v>
      </c>
      <c r="D30" s="455"/>
      <c r="E30" s="811"/>
      <c r="F30" s="819"/>
      <c r="G30" s="798"/>
      <c r="H30" s="817"/>
      <c r="I30" s="817"/>
    </row>
    <row r="31" spans="1:9" ht="63">
      <c r="A31" s="306">
        <v>936</v>
      </c>
      <c r="B31" s="410" t="s">
        <v>607</v>
      </c>
      <c r="C31" s="307" t="s">
        <v>579</v>
      </c>
      <c r="D31" s="455">
        <v>10916.6</v>
      </c>
      <c r="E31" s="811">
        <v>10916.6</v>
      </c>
      <c r="F31" s="819"/>
      <c r="G31" s="798"/>
      <c r="H31" s="817"/>
      <c r="I31" s="817"/>
    </row>
    <row r="32" spans="1:9" ht="83.25" customHeight="1">
      <c r="A32" s="306">
        <v>936</v>
      </c>
      <c r="B32" s="410" t="s">
        <v>607</v>
      </c>
      <c r="C32" s="411" t="s">
        <v>700</v>
      </c>
      <c r="D32" s="461">
        <v>90950.1</v>
      </c>
      <c r="E32" s="811">
        <v>90950.1</v>
      </c>
      <c r="F32" s="799"/>
      <c r="G32" s="798"/>
      <c r="H32" s="817"/>
      <c r="I32" s="817"/>
    </row>
    <row r="33" spans="1:9" ht="102" customHeight="1">
      <c r="A33" s="306">
        <v>931</v>
      </c>
      <c r="B33" s="410" t="s">
        <v>607</v>
      </c>
      <c r="C33" s="904" t="s">
        <v>744</v>
      </c>
      <c r="D33" s="455">
        <v>50242.9</v>
      </c>
      <c r="E33" s="811">
        <v>50242.9</v>
      </c>
      <c r="F33" s="819"/>
      <c r="G33" s="798"/>
      <c r="H33" s="817"/>
      <c r="I33" s="817"/>
    </row>
    <row r="34" spans="1:9" ht="78.75">
      <c r="A34" s="306">
        <v>934</v>
      </c>
      <c r="B34" s="410" t="s">
        <v>616</v>
      </c>
      <c r="C34" s="307" t="s">
        <v>631</v>
      </c>
      <c r="D34" s="455">
        <v>10217.299999999999</v>
      </c>
      <c r="E34" s="811">
        <v>11352.6</v>
      </c>
      <c r="F34" s="819" t="s">
        <v>1291</v>
      </c>
      <c r="G34" s="798" t="s">
        <v>1294</v>
      </c>
      <c r="H34" s="817"/>
      <c r="I34" s="817"/>
    </row>
    <row r="35" spans="1:9" ht="102" customHeight="1">
      <c r="A35" s="306">
        <v>934</v>
      </c>
      <c r="B35" s="410" t="s">
        <v>607</v>
      </c>
      <c r="C35" s="307" t="s">
        <v>739</v>
      </c>
      <c r="D35" s="455">
        <v>7428.5</v>
      </c>
      <c r="E35" s="811">
        <v>7428.5</v>
      </c>
      <c r="F35" s="819"/>
      <c r="G35" s="798"/>
      <c r="H35" s="817"/>
      <c r="I35" s="817"/>
    </row>
    <row r="36" spans="1:9" ht="31.5">
      <c r="A36" s="306">
        <v>934</v>
      </c>
      <c r="B36" s="410" t="s">
        <v>607</v>
      </c>
      <c r="C36" s="307" t="s">
        <v>698</v>
      </c>
      <c r="D36" s="455">
        <v>7745.2</v>
      </c>
      <c r="E36" s="811">
        <v>7745.2</v>
      </c>
      <c r="F36" s="819"/>
      <c r="G36" s="798"/>
      <c r="H36" s="817"/>
      <c r="I36" s="817"/>
    </row>
    <row r="37" spans="1:9" ht="47.25">
      <c r="A37" s="306">
        <v>934</v>
      </c>
      <c r="B37" s="410" t="s">
        <v>617</v>
      </c>
      <c r="C37" s="307" t="s">
        <v>697</v>
      </c>
      <c r="D37" s="326">
        <v>2189.5</v>
      </c>
      <c r="E37" s="811">
        <v>1455.6</v>
      </c>
      <c r="F37" s="798" t="s">
        <v>1292</v>
      </c>
      <c r="G37" s="798" t="s">
        <v>1293</v>
      </c>
      <c r="H37" s="817"/>
      <c r="I37" s="817"/>
    </row>
    <row r="38" spans="1:9" ht="51" hidden="1" customHeight="1">
      <c r="A38" s="306">
        <v>936</v>
      </c>
      <c r="B38" s="410" t="s">
        <v>607</v>
      </c>
      <c r="C38" s="307" t="s">
        <v>699</v>
      </c>
      <c r="D38" s="326"/>
      <c r="E38" s="811"/>
      <c r="F38" s="798"/>
      <c r="G38" s="798"/>
      <c r="H38" s="817"/>
      <c r="I38" s="817"/>
    </row>
    <row r="39" spans="1:9" ht="110.25">
      <c r="A39" s="306">
        <v>936</v>
      </c>
      <c r="B39" s="410" t="s">
        <v>607</v>
      </c>
      <c r="C39" s="307" t="s">
        <v>1327</v>
      </c>
      <c r="D39" s="326">
        <v>253.9</v>
      </c>
      <c r="E39" s="811">
        <v>253.9</v>
      </c>
      <c r="F39" s="798"/>
      <c r="G39" s="798"/>
      <c r="H39" s="817"/>
      <c r="I39" s="817"/>
    </row>
    <row r="40" spans="1:9" ht="31.5">
      <c r="A40" s="306">
        <v>936</v>
      </c>
      <c r="B40" s="410" t="s">
        <v>607</v>
      </c>
      <c r="C40" s="307" t="s">
        <v>1296</v>
      </c>
      <c r="D40" s="326"/>
      <c r="E40" s="811">
        <v>21001.5</v>
      </c>
      <c r="F40" s="798" t="s">
        <v>1297</v>
      </c>
      <c r="G40" s="798"/>
      <c r="H40" s="817"/>
      <c r="I40" s="817"/>
    </row>
    <row r="41" spans="1:9" ht="47.25">
      <c r="A41" s="306">
        <v>934</v>
      </c>
      <c r="B41" s="410" t="s">
        <v>607</v>
      </c>
      <c r="C41" s="307" t="s">
        <v>707</v>
      </c>
      <c r="D41" s="326">
        <v>23072</v>
      </c>
      <c r="E41" s="811"/>
      <c r="F41" s="798" t="s">
        <v>1295</v>
      </c>
      <c r="G41" s="798"/>
      <c r="H41" s="817"/>
      <c r="I41" s="817"/>
    </row>
    <row r="42" spans="1:9" ht="47.25">
      <c r="A42" s="306">
        <v>937</v>
      </c>
      <c r="B42" s="410" t="s">
        <v>607</v>
      </c>
      <c r="C42" s="307" t="s">
        <v>1119</v>
      </c>
      <c r="D42" s="326">
        <v>64814.2</v>
      </c>
      <c r="E42" s="811"/>
      <c r="F42" s="798"/>
      <c r="G42" s="798"/>
      <c r="H42" s="817"/>
      <c r="I42" s="817"/>
    </row>
    <row r="43" spans="1:9" ht="88.5" hidden="1" customHeight="1">
      <c r="A43" s="306">
        <v>937</v>
      </c>
      <c r="B43" s="586" t="s">
        <v>607</v>
      </c>
      <c r="C43" s="305" t="s">
        <v>750</v>
      </c>
      <c r="D43" s="326"/>
      <c r="E43" s="811"/>
      <c r="F43" s="798"/>
      <c r="G43" s="798"/>
      <c r="H43" s="817"/>
      <c r="I43" s="817"/>
    </row>
    <row r="44" spans="1:9" ht="47.25">
      <c r="A44" s="300">
        <v>0</v>
      </c>
      <c r="B44" s="301" t="s">
        <v>477</v>
      </c>
      <c r="C44" s="314" t="s">
        <v>233</v>
      </c>
      <c r="D44" s="327">
        <f>SUM(D45:D70)</f>
        <v>376575.9</v>
      </c>
      <c r="E44" s="812">
        <f>SUM(E45:E70)</f>
        <v>376312.80000000005</v>
      </c>
      <c r="F44" s="797"/>
      <c r="G44" s="797"/>
      <c r="H44" s="817"/>
      <c r="I44" s="817"/>
    </row>
    <row r="45" spans="1:9" s="214" customFormat="1" ht="110.25">
      <c r="A45" s="306">
        <v>936</v>
      </c>
      <c r="B45" s="402" t="s">
        <v>628</v>
      </c>
      <c r="C45" s="307" t="s">
        <v>581</v>
      </c>
      <c r="D45" s="326">
        <v>5692.3</v>
      </c>
      <c r="E45" s="811">
        <v>5746.7</v>
      </c>
      <c r="F45" s="798"/>
      <c r="G45" s="798"/>
      <c r="H45" s="905"/>
      <c r="I45" s="905"/>
    </row>
    <row r="46" spans="1:9" s="214" customFormat="1" ht="63">
      <c r="A46" s="306">
        <v>934</v>
      </c>
      <c r="B46" s="402" t="s">
        <v>620</v>
      </c>
      <c r="C46" s="411" t="s">
        <v>580</v>
      </c>
      <c r="D46" s="326">
        <v>6.1</v>
      </c>
      <c r="E46" s="811">
        <v>5.5</v>
      </c>
      <c r="F46" s="798"/>
      <c r="G46" s="798"/>
      <c r="H46" s="905"/>
      <c r="I46" s="905"/>
    </row>
    <row r="47" spans="1:9" s="214" customFormat="1" ht="63">
      <c r="A47" s="306">
        <v>934</v>
      </c>
      <c r="B47" s="402" t="s">
        <v>608</v>
      </c>
      <c r="C47" s="904" t="s">
        <v>689</v>
      </c>
      <c r="D47" s="326">
        <v>320</v>
      </c>
      <c r="E47" s="811"/>
      <c r="F47" s="798"/>
      <c r="G47" s="798"/>
      <c r="H47" s="905"/>
      <c r="I47" s="905"/>
    </row>
    <row r="48" spans="1:9" s="214" customFormat="1" ht="63">
      <c r="A48" s="306">
        <v>934</v>
      </c>
      <c r="B48" s="402" t="s">
        <v>608</v>
      </c>
      <c r="C48" s="904" t="s">
        <v>689</v>
      </c>
      <c r="D48" s="326">
        <v>1.7</v>
      </c>
      <c r="E48" s="811"/>
      <c r="F48" s="798"/>
      <c r="G48" s="798"/>
      <c r="H48" s="905"/>
      <c r="I48" s="905"/>
    </row>
    <row r="49" spans="1:9" s="214" customFormat="1" ht="47.25">
      <c r="A49" s="306">
        <v>931</v>
      </c>
      <c r="B49" s="402" t="s">
        <v>608</v>
      </c>
      <c r="C49" s="411" t="s">
        <v>583</v>
      </c>
      <c r="D49" s="455">
        <v>100.1</v>
      </c>
      <c r="E49" s="811">
        <v>104.1</v>
      </c>
      <c r="F49" s="819"/>
      <c r="G49" s="798"/>
      <c r="H49" s="905"/>
      <c r="I49" s="905"/>
    </row>
    <row r="50" spans="1:9" s="214" customFormat="1" ht="315">
      <c r="A50" s="306">
        <v>934</v>
      </c>
      <c r="B50" s="402" t="s">
        <v>608</v>
      </c>
      <c r="C50" s="307" t="s">
        <v>1328</v>
      </c>
      <c r="D50" s="326">
        <v>587</v>
      </c>
      <c r="E50" s="811">
        <v>587</v>
      </c>
      <c r="F50" s="798"/>
      <c r="G50" s="798"/>
      <c r="H50" s="905"/>
      <c r="I50" s="905"/>
    </row>
    <row r="51" spans="1:9" s="214" customFormat="1" ht="315">
      <c r="A51" s="306">
        <v>934</v>
      </c>
      <c r="B51" s="402" t="s">
        <v>608</v>
      </c>
      <c r="C51" s="307" t="s">
        <v>714</v>
      </c>
      <c r="D51" s="326">
        <v>228.5</v>
      </c>
      <c r="E51" s="811">
        <v>228.5</v>
      </c>
      <c r="F51" s="798"/>
      <c r="G51" s="798"/>
      <c r="H51" s="905"/>
      <c r="I51" s="905"/>
    </row>
    <row r="52" spans="1:9" s="214" customFormat="1" ht="94.5">
      <c r="A52" s="306">
        <v>934</v>
      </c>
      <c r="B52" s="402" t="s">
        <v>608</v>
      </c>
      <c r="C52" s="307" t="s">
        <v>584</v>
      </c>
      <c r="D52" s="326">
        <v>3</v>
      </c>
      <c r="E52" s="811">
        <v>3</v>
      </c>
      <c r="F52" s="798"/>
      <c r="G52" s="798"/>
      <c r="H52" s="905"/>
      <c r="I52" s="905"/>
    </row>
    <row r="53" spans="1:9" s="214" customFormat="1" ht="63">
      <c r="A53" s="306">
        <v>934</v>
      </c>
      <c r="B53" s="402" t="s">
        <v>608</v>
      </c>
      <c r="C53" s="307" t="s">
        <v>585</v>
      </c>
      <c r="D53" s="326">
        <v>1674.6</v>
      </c>
      <c r="E53" s="811">
        <v>1674.6</v>
      </c>
      <c r="F53" s="798"/>
      <c r="G53" s="798"/>
      <c r="H53" s="905"/>
      <c r="I53" s="905"/>
    </row>
    <row r="54" spans="1:9" s="214" customFormat="1" ht="63">
      <c r="A54" s="306">
        <v>934</v>
      </c>
      <c r="B54" s="402" t="s">
        <v>608</v>
      </c>
      <c r="C54" s="307" t="s">
        <v>690</v>
      </c>
      <c r="D54" s="326">
        <v>25.1</v>
      </c>
      <c r="E54" s="811">
        <v>25.1</v>
      </c>
      <c r="F54" s="798"/>
      <c r="G54" s="798"/>
      <c r="H54" s="905"/>
      <c r="I54" s="905"/>
    </row>
    <row r="55" spans="1:9" s="214" customFormat="1" ht="63">
      <c r="A55" s="306">
        <v>934</v>
      </c>
      <c r="B55" s="402" t="s">
        <v>608</v>
      </c>
      <c r="C55" s="307" t="s">
        <v>587</v>
      </c>
      <c r="D55" s="326">
        <v>280</v>
      </c>
      <c r="E55" s="811">
        <v>280</v>
      </c>
      <c r="F55" s="798"/>
      <c r="G55" s="798"/>
      <c r="H55" s="905"/>
      <c r="I55" s="905"/>
    </row>
    <row r="56" spans="1:9" s="214" customFormat="1" ht="78.75">
      <c r="A56" s="306">
        <v>934</v>
      </c>
      <c r="B56" s="402" t="s">
        <v>608</v>
      </c>
      <c r="C56" s="307" t="s">
        <v>688</v>
      </c>
      <c r="D56" s="326">
        <v>1378.7</v>
      </c>
      <c r="E56" s="811">
        <v>1378.7</v>
      </c>
      <c r="F56" s="798"/>
      <c r="G56" s="798"/>
      <c r="H56" s="905"/>
      <c r="I56" s="905"/>
    </row>
    <row r="57" spans="1:9" s="214" customFormat="1" ht="63">
      <c r="A57" s="306">
        <v>934</v>
      </c>
      <c r="B57" s="402" t="s">
        <v>608</v>
      </c>
      <c r="C57" s="307" t="s">
        <v>589</v>
      </c>
      <c r="D57" s="326">
        <v>230.5</v>
      </c>
      <c r="E57" s="811">
        <v>230.5</v>
      </c>
      <c r="F57" s="798"/>
      <c r="G57" s="798"/>
      <c r="H57" s="905"/>
      <c r="I57" s="905"/>
    </row>
    <row r="58" spans="1:9" s="214" customFormat="1" ht="63">
      <c r="A58" s="306">
        <v>934</v>
      </c>
      <c r="B58" s="402" t="s">
        <v>608</v>
      </c>
      <c r="C58" s="307" t="s">
        <v>687</v>
      </c>
      <c r="D58" s="326">
        <v>894</v>
      </c>
      <c r="E58" s="811">
        <v>894</v>
      </c>
      <c r="F58" s="798"/>
      <c r="G58" s="798"/>
      <c r="H58" s="905"/>
      <c r="I58" s="905"/>
    </row>
    <row r="59" spans="1:9" s="214" customFormat="1" ht="63">
      <c r="A59" s="306">
        <v>934</v>
      </c>
      <c r="B59" s="402" t="s">
        <v>608</v>
      </c>
      <c r="C59" s="307" t="s">
        <v>686</v>
      </c>
      <c r="D59" s="326">
        <v>1378.7</v>
      </c>
      <c r="E59" s="811">
        <v>1378.7</v>
      </c>
      <c r="F59" s="798"/>
      <c r="G59" s="798"/>
      <c r="H59" s="905"/>
      <c r="I59" s="905"/>
    </row>
    <row r="60" spans="1:9" s="214" customFormat="1" ht="78.75">
      <c r="A60" s="306">
        <v>934</v>
      </c>
      <c r="B60" s="402" t="s">
        <v>608</v>
      </c>
      <c r="C60" s="307" t="s">
        <v>1076</v>
      </c>
      <c r="D60" s="326">
        <v>151</v>
      </c>
      <c r="E60" s="811">
        <v>151</v>
      </c>
      <c r="F60" s="798"/>
      <c r="G60" s="798"/>
      <c r="H60" s="905"/>
      <c r="I60" s="905"/>
    </row>
    <row r="61" spans="1:9" s="214" customFormat="1" ht="63">
      <c r="A61" s="306">
        <v>934</v>
      </c>
      <c r="B61" s="402" t="s">
        <v>608</v>
      </c>
      <c r="C61" s="307" t="s">
        <v>1077</v>
      </c>
      <c r="D61" s="326">
        <v>22.6</v>
      </c>
      <c r="E61" s="811">
        <v>22.6</v>
      </c>
      <c r="F61" s="798"/>
      <c r="G61" s="798"/>
      <c r="H61" s="905"/>
      <c r="I61" s="905"/>
    </row>
    <row r="62" spans="1:9" s="214" customFormat="1" ht="78.75">
      <c r="A62" s="410">
        <v>934</v>
      </c>
      <c r="B62" s="402" t="s">
        <v>629</v>
      </c>
      <c r="C62" s="906" t="s">
        <v>1037</v>
      </c>
      <c r="D62" s="326">
        <v>83.7</v>
      </c>
      <c r="E62" s="811">
        <v>83.7</v>
      </c>
      <c r="F62" s="798"/>
      <c r="G62" s="798"/>
      <c r="H62" s="905"/>
      <c r="I62" s="905"/>
    </row>
    <row r="63" spans="1:9" s="214" customFormat="1" ht="141.75">
      <c r="A63" s="306">
        <v>936</v>
      </c>
      <c r="B63" s="402" t="s">
        <v>608</v>
      </c>
      <c r="C63" s="307" t="s">
        <v>751</v>
      </c>
      <c r="D63" s="326">
        <v>85.4</v>
      </c>
      <c r="E63" s="811">
        <v>86.2</v>
      </c>
      <c r="F63" s="798"/>
      <c r="G63" s="798"/>
      <c r="H63" s="905"/>
      <c r="I63" s="905"/>
    </row>
    <row r="64" spans="1:9" s="214" customFormat="1" ht="78.75">
      <c r="A64" s="306">
        <v>936</v>
      </c>
      <c r="B64" s="402" t="s">
        <v>608</v>
      </c>
      <c r="C64" s="307" t="s">
        <v>691</v>
      </c>
      <c r="D64" s="326">
        <v>48.3</v>
      </c>
      <c r="E64" s="811">
        <v>48.3</v>
      </c>
      <c r="F64" s="798"/>
      <c r="G64" s="798"/>
      <c r="H64" s="905"/>
      <c r="I64" s="905"/>
    </row>
    <row r="65" spans="1:26" s="214" customFormat="1" ht="110.25">
      <c r="A65" s="306">
        <v>936</v>
      </c>
      <c r="B65" s="402" t="s">
        <v>608</v>
      </c>
      <c r="C65" s="307" t="s">
        <v>592</v>
      </c>
      <c r="D65" s="326">
        <v>268960.7</v>
      </c>
      <c r="E65" s="811">
        <v>268960.7</v>
      </c>
      <c r="F65" s="798"/>
      <c r="G65" s="798"/>
      <c r="H65" s="905"/>
      <c r="I65" s="905"/>
    </row>
    <row r="66" spans="1:26" s="214" customFormat="1" ht="315">
      <c r="A66" s="306">
        <v>936</v>
      </c>
      <c r="B66" s="402" t="s">
        <v>608</v>
      </c>
      <c r="C66" s="307" t="s">
        <v>714</v>
      </c>
      <c r="D66" s="326">
        <v>3000</v>
      </c>
      <c r="E66" s="811">
        <v>3000</v>
      </c>
      <c r="F66" s="798"/>
      <c r="G66" s="798"/>
      <c r="H66" s="905"/>
      <c r="I66" s="905"/>
    </row>
    <row r="67" spans="1:26" s="214" customFormat="1" ht="47.25">
      <c r="A67" s="306">
        <v>936</v>
      </c>
      <c r="B67" s="402" t="s">
        <v>608</v>
      </c>
      <c r="C67" s="307" t="s">
        <v>593</v>
      </c>
      <c r="D67" s="326">
        <v>84430.9</v>
      </c>
      <c r="E67" s="811">
        <v>84430.9</v>
      </c>
      <c r="F67" s="798"/>
      <c r="G67" s="798"/>
      <c r="H67" s="905"/>
      <c r="I67" s="905"/>
    </row>
    <row r="68" spans="1:26" s="214" customFormat="1" ht="47.25">
      <c r="A68" s="410">
        <v>936</v>
      </c>
      <c r="B68" s="402" t="s">
        <v>629</v>
      </c>
      <c r="C68" s="307" t="s">
        <v>594</v>
      </c>
      <c r="D68" s="326">
        <v>3715.6</v>
      </c>
      <c r="E68" s="811">
        <v>3715.6</v>
      </c>
      <c r="F68" s="798"/>
      <c r="G68" s="798"/>
      <c r="H68" s="905"/>
      <c r="I68" s="905"/>
    </row>
    <row r="69" spans="1:26" s="214" customFormat="1" ht="47.25">
      <c r="A69" s="410">
        <v>936</v>
      </c>
      <c r="B69" s="402" t="s">
        <v>629</v>
      </c>
      <c r="C69" s="307" t="s">
        <v>595</v>
      </c>
      <c r="D69" s="326">
        <v>55.7</v>
      </c>
      <c r="E69" s="811">
        <v>55.7</v>
      </c>
      <c r="F69" s="798"/>
      <c r="G69" s="798"/>
      <c r="H69" s="905"/>
      <c r="I69" s="905"/>
    </row>
    <row r="70" spans="1:26" s="214" customFormat="1" ht="173.25">
      <c r="A70" s="306">
        <v>936</v>
      </c>
      <c r="B70" s="402" t="s">
        <v>629</v>
      </c>
      <c r="C70" s="903" t="s">
        <v>596</v>
      </c>
      <c r="D70" s="326">
        <v>3221.7</v>
      </c>
      <c r="E70" s="811">
        <v>3221.7</v>
      </c>
      <c r="F70" s="798"/>
      <c r="G70" s="798"/>
      <c r="H70" s="905"/>
      <c r="I70" s="905"/>
    </row>
    <row r="71" spans="1:26" ht="15.75">
      <c r="A71" s="300">
        <v>0</v>
      </c>
      <c r="B71" s="301" t="s">
        <v>478</v>
      </c>
      <c r="C71" s="316" t="s">
        <v>234</v>
      </c>
      <c r="D71" s="324">
        <f>SUM(D72:D75)</f>
        <v>39789.800000000003</v>
      </c>
      <c r="E71" s="809">
        <f>SUM(E72:E75)</f>
        <v>45832</v>
      </c>
      <c r="F71" s="795"/>
      <c r="G71" s="795"/>
      <c r="H71" s="817"/>
      <c r="I71" s="817"/>
    </row>
    <row r="72" spans="1:26" ht="78.75">
      <c r="A72" s="303">
        <v>931</v>
      </c>
      <c r="B72" s="304" t="s">
        <v>609</v>
      </c>
      <c r="C72" s="313" t="s">
        <v>189</v>
      </c>
      <c r="D72" s="424">
        <v>4754.6000000000004</v>
      </c>
      <c r="E72" s="813">
        <v>4754.6000000000004</v>
      </c>
      <c r="F72" s="820"/>
      <c r="G72" s="820"/>
      <c r="H72" s="817"/>
      <c r="I72" s="817"/>
    </row>
    <row r="73" spans="1:26" ht="63">
      <c r="A73" s="303">
        <v>936</v>
      </c>
      <c r="B73" s="303" t="s">
        <v>748</v>
      </c>
      <c r="C73" s="307" t="s">
        <v>747</v>
      </c>
      <c r="D73" s="461">
        <v>34384.9</v>
      </c>
      <c r="E73" s="810">
        <v>40427.1</v>
      </c>
      <c r="F73" s="799"/>
      <c r="G73" s="794"/>
      <c r="H73" s="817"/>
      <c r="I73" s="817"/>
    </row>
    <row r="74" spans="1:26" ht="71.25" customHeight="1">
      <c r="A74" s="303">
        <v>936</v>
      </c>
      <c r="B74" s="304" t="s">
        <v>614</v>
      </c>
      <c r="C74" s="307" t="s">
        <v>747</v>
      </c>
      <c r="D74" s="495">
        <v>650.29999999999995</v>
      </c>
      <c r="E74" s="810">
        <v>650.29999999999995</v>
      </c>
      <c r="F74" s="796"/>
      <c r="G74" s="794"/>
      <c r="H74" s="817"/>
      <c r="I74" s="817"/>
    </row>
    <row r="75" spans="1:26" ht="63" hidden="1">
      <c r="A75" s="423">
        <v>936</v>
      </c>
      <c r="B75" s="821" t="s">
        <v>614</v>
      </c>
      <c r="C75" s="423" t="s">
        <v>1182</v>
      </c>
      <c r="D75" s="170"/>
      <c r="E75" s="170"/>
      <c r="L75" s="980" t="s">
        <v>1159</v>
      </c>
      <c r="M75" s="980"/>
      <c r="N75" s="980"/>
      <c r="O75" s="980"/>
      <c r="P75" s="980"/>
      <c r="Q75" s="980"/>
      <c r="R75" s="980"/>
      <c r="T75" s="980" t="s">
        <v>1160</v>
      </c>
      <c r="U75" s="980"/>
      <c r="V75" s="980"/>
      <c r="W75" s="980"/>
      <c r="X75" s="980"/>
      <c r="Y75" s="980"/>
      <c r="Z75" s="980"/>
    </row>
    <row r="76" spans="1:26">
      <c r="L76" s="981"/>
      <c r="M76" s="981"/>
      <c r="N76" s="981"/>
      <c r="O76" s="981"/>
      <c r="P76" s="981"/>
      <c r="Q76" s="981"/>
      <c r="R76" s="981"/>
      <c r="T76" s="981"/>
      <c r="U76" s="981"/>
      <c r="V76" s="981"/>
      <c r="W76" s="981"/>
      <c r="X76" s="981"/>
      <c r="Y76" s="981"/>
      <c r="Z76" s="981"/>
    </row>
    <row r="77" spans="1:26" ht="31.5">
      <c r="L77" s="317" t="s">
        <v>41</v>
      </c>
      <c r="M77" s="317" t="s">
        <v>40</v>
      </c>
      <c r="N77" s="317" t="s">
        <v>560</v>
      </c>
      <c r="O77" s="318" t="s">
        <v>434</v>
      </c>
      <c r="P77" s="319" t="s">
        <v>435</v>
      </c>
      <c r="Q77" s="319" t="s">
        <v>119</v>
      </c>
      <c r="R77" s="319" t="s">
        <v>255</v>
      </c>
      <c r="T77" s="317" t="s">
        <v>41</v>
      </c>
      <c r="U77" s="317" t="s">
        <v>40</v>
      </c>
      <c r="V77" s="317" t="s">
        <v>560</v>
      </c>
      <c r="W77" s="318" t="s">
        <v>434</v>
      </c>
      <c r="X77" s="319" t="s">
        <v>435</v>
      </c>
      <c r="Y77" s="319" t="s">
        <v>119</v>
      </c>
      <c r="Z77" s="319" t="s">
        <v>255</v>
      </c>
    </row>
    <row r="78" spans="1:26" ht="15.75">
      <c r="L78" s="320">
        <v>1</v>
      </c>
      <c r="M78" s="320">
        <v>2</v>
      </c>
      <c r="N78" s="320">
        <v>3</v>
      </c>
      <c r="O78" s="320">
        <v>4</v>
      </c>
      <c r="P78" s="320">
        <v>5</v>
      </c>
      <c r="Q78" s="320">
        <v>6</v>
      </c>
      <c r="R78" s="320">
        <v>7</v>
      </c>
      <c r="T78" s="320">
        <v>1</v>
      </c>
      <c r="U78" s="320">
        <v>2</v>
      </c>
      <c r="V78" s="320">
        <v>3</v>
      </c>
      <c r="W78" s="320">
        <v>4</v>
      </c>
      <c r="X78" s="320">
        <v>5</v>
      </c>
      <c r="Y78" s="320">
        <v>6</v>
      </c>
      <c r="Z78" s="320">
        <v>7</v>
      </c>
    </row>
    <row r="79" spans="1:26" ht="15.75">
      <c r="L79" s="321">
        <v>1</v>
      </c>
      <c r="M79" s="321" t="s">
        <v>239</v>
      </c>
      <c r="N79" s="321"/>
      <c r="O79" s="425">
        <v>11.4</v>
      </c>
      <c r="P79" s="379">
        <v>222.7</v>
      </c>
      <c r="Q79" s="808">
        <v>25.8</v>
      </c>
      <c r="R79" s="426">
        <f>O79+P79+Q79+N79</f>
        <v>259.89999999999998</v>
      </c>
      <c r="T79" s="321">
        <v>1</v>
      </c>
      <c r="U79" s="321" t="s">
        <v>239</v>
      </c>
      <c r="V79" s="321"/>
      <c r="W79" s="425">
        <v>11.4</v>
      </c>
      <c r="X79" s="379">
        <v>222.7</v>
      </c>
      <c r="Y79" s="808">
        <v>25.8</v>
      </c>
      <c r="Z79" s="426">
        <f>W79+X79+Y79+V79</f>
        <v>259.89999999999998</v>
      </c>
    </row>
    <row r="80" spans="1:26" ht="15.75">
      <c r="L80" s="321">
        <v>2</v>
      </c>
      <c r="M80" s="321" t="s">
        <v>240</v>
      </c>
      <c r="N80" s="321"/>
      <c r="O80" s="425">
        <v>27.5</v>
      </c>
      <c r="P80" s="379">
        <v>222.7</v>
      </c>
      <c r="Q80" s="808">
        <f>Q79</f>
        <v>25.8</v>
      </c>
      <c r="R80" s="426">
        <f t="shared" ref="R80:R94" si="0">O80+P80+Q80+N80</f>
        <v>276</v>
      </c>
      <c r="T80" s="321">
        <v>2</v>
      </c>
      <c r="U80" s="321" t="s">
        <v>240</v>
      </c>
      <c r="V80" s="321"/>
      <c r="W80" s="425">
        <v>27.5</v>
      </c>
      <c r="X80" s="379">
        <v>222.7</v>
      </c>
      <c r="Y80" s="808">
        <f>Y79</f>
        <v>25.8</v>
      </c>
      <c r="Z80" s="426">
        <f t="shared" ref="Z80:Z94" si="1">W80+X80+Y80+V80</f>
        <v>276</v>
      </c>
    </row>
    <row r="81" spans="12:26" ht="15.75">
      <c r="L81" s="321">
        <v>3</v>
      </c>
      <c r="M81" s="321" t="s">
        <v>241</v>
      </c>
      <c r="N81" s="321"/>
      <c r="O81" s="425">
        <v>12.8</v>
      </c>
      <c r="P81" s="379">
        <v>222.7</v>
      </c>
      <c r="Q81" s="808">
        <f t="shared" ref="Q81:Q93" si="2">Q80</f>
        <v>25.8</v>
      </c>
      <c r="R81" s="426">
        <f t="shared" si="0"/>
        <v>261.3</v>
      </c>
      <c r="T81" s="321">
        <v>3</v>
      </c>
      <c r="U81" s="321" t="s">
        <v>241</v>
      </c>
      <c r="V81" s="321"/>
      <c r="W81" s="425">
        <v>12.8</v>
      </c>
      <c r="X81" s="379">
        <v>222.7</v>
      </c>
      <c r="Y81" s="808">
        <f t="shared" ref="Y81:Y93" si="3">Y80</f>
        <v>25.8</v>
      </c>
      <c r="Z81" s="426">
        <f t="shared" si="1"/>
        <v>261.3</v>
      </c>
    </row>
    <row r="82" spans="12:26" ht="15.75">
      <c r="L82" s="321">
        <v>4</v>
      </c>
      <c r="M82" s="321" t="s">
        <v>242</v>
      </c>
      <c r="N82" s="321"/>
      <c r="O82" s="425">
        <v>8.1999999999999993</v>
      </c>
      <c r="P82" s="379">
        <v>222.7</v>
      </c>
      <c r="Q82" s="808">
        <v>25.8</v>
      </c>
      <c r="R82" s="426">
        <f t="shared" si="0"/>
        <v>256.7</v>
      </c>
      <c r="T82" s="321">
        <v>4</v>
      </c>
      <c r="U82" s="321" t="s">
        <v>242</v>
      </c>
      <c r="V82" s="321"/>
      <c r="W82" s="425">
        <v>8.1999999999999993</v>
      </c>
      <c r="X82" s="379">
        <v>222.7</v>
      </c>
      <c r="Y82" s="808">
        <v>25.8</v>
      </c>
      <c r="Z82" s="426">
        <f t="shared" si="1"/>
        <v>256.7</v>
      </c>
    </row>
    <row r="83" spans="12:26" ht="15.75">
      <c r="L83" s="321">
        <v>5</v>
      </c>
      <c r="M83" s="321" t="s">
        <v>243</v>
      </c>
      <c r="N83" s="321"/>
      <c r="O83" s="425">
        <v>26.7</v>
      </c>
      <c r="P83" s="379">
        <v>222.7</v>
      </c>
      <c r="Q83" s="808">
        <v>25.9</v>
      </c>
      <c r="R83" s="426">
        <f t="shared" si="0"/>
        <v>275.29999999999995</v>
      </c>
      <c r="T83" s="321">
        <v>5</v>
      </c>
      <c r="U83" s="321" t="s">
        <v>243</v>
      </c>
      <c r="V83" s="321"/>
      <c r="W83" s="425">
        <v>26.7</v>
      </c>
      <c r="X83" s="379">
        <v>222.7</v>
      </c>
      <c r="Y83" s="808">
        <v>25.9</v>
      </c>
      <c r="Z83" s="426">
        <f t="shared" si="1"/>
        <v>275.29999999999995</v>
      </c>
    </row>
    <row r="84" spans="12:26" ht="15.75">
      <c r="L84" s="322">
        <v>6</v>
      </c>
      <c r="M84" s="322" t="s">
        <v>244</v>
      </c>
      <c r="N84" s="322"/>
      <c r="O84" s="425">
        <v>9.8000000000000007</v>
      </c>
      <c r="P84" s="379">
        <v>222.7</v>
      </c>
      <c r="Q84" s="808">
        <v>25.8</v>
      </c>
      <c r="R84" s="426">
        <f t="shared" si="0"/>
        <v>258.3</v>
      </c>
      <c r="T84" s="322">
        <v>6</v>
      </c>
      <c r="U84" s="322" t="s">
        <v>244</v>
      </c>
      <c r="V84" s="322"/>
      <c r="W84" s="425">
        <v>9.8000000000000007</v>
      </c>
      <c r="X84" s="379">
        <v>222.7</v>
      </c>
      <c r="Y84" s="808">
        <v>25.8</v>
      </c>
      <c r="Z84" s="426">
        <f t="shared" si="1"/>
        <v>258.3</v>
      </c>
    </row>
    <row r="85" spans="12:26" ht="15.75">
      <c r="L85" s="322">
        <v>7</v>
      </c>
      <c r="M85" s="322" t="s">
        <v>245</v>
      </c>
      <c r="N85" s="322"/>
      <c r="O85" s="425">
        <v>7.7</v>
      </c>
      <c r="P85" s="379">
        <v>222.7</v>
      </c>
      <c r="Q85" s="808">
        <v>25.8</v>
      </c>
      <c r="R85" s="426">
        <f t="shared" si="0"/>
        <v>256.2</v>
      </c>
      <c r="T85" s="322">
        <v>7</v>
      </c>
      <c r="U85" s="322" t="s">
        <v>245</v>
      </c>
      <c r="V85" s="322"/>
      <c r="W85" s="425">
        <v>7.7</v>
      </c>
      <c r="X85" s="379">
        <v>222.7</v>
      </c>
      <c r="Y85" s="808">
        <v>25.8</v>
      </c>
      <c r="Z85" s="426">
        <f t="shared" si="1"/>
        <v>256.2</v>
      </c>
    </row>
    <row r="86" spans="12:26" ht="15.75">
      <c r="L86" s="322">
        <v>8</v>
      </c>
      <c r="M86" s="322" t="s">
        <v>247</v>
      </c>
      <c r="N86" s="322"/>
      <c r="O86" s="425">
        <v>7.5</v>
      </c>
      <c r="P86" s="379">
        <v>222.7</v>
      </c>
      <c r="Q86" s="808">
        <f t="shared" si="2"/>
        <v>25.8</v>
      </c>
      <c r="R86" s="426">
        <f t="shared" si="0"/>
        <v>256</v>
      </c>
      <c r="T86" s="322">
        <v>8</v>
      </c>
      <c r="U86" s="322" t="s">
        <v>247</v>
      </c>
      <c r="V86" s="322"/>
      <c r="W86" s="425">
        <v>7.5</v>
      </c>
      <c r="X86" s="379">
        <v>222.7</v>
      </c>
      <c r="Y86" s="808">
        <f t="shared" si="3"/>
        <v>25.8</v>
      </c>
      <c r="Z86" s="426">
        <f t="shared" si="1"/>
        <v>256</v>
      </c>
    </row>
    <row r="87" spans="12:26" ht="15.75">
      <c r="L87" s="322">
        <v>9</v>
      </c>
      <c r="M87" s="322" t="s">
        <v>248</v>
      </c>
      <c r="N87" s="322"/>
      <c r="O87" s="425">
        <v>7.1</v>
      </c>
      <c r="P87" s="379">
        <v>222.7</v>
      </c>
      <c r="Q87" s="808">
        <v>25.8</v>
      </c>
      <c r="R87" s="426">
        <f t="shared" si="0"/>
        <v>255.6</v>
      </c>
      <c r="T87" s="322">
        <v>9</v>
      </c>
      <c r="U87" s="322" t="s">
        <v>248</v>
      </c>
      <c r="V87" s="322"/>
      <c r="W87" s="425">
        <v>7.1</v>
      </c>
      <c r="X87" s="379">
        <v>222.7</v>
      </c>
      <c r="Y87" s="808">
        <v>25.8</v>
      </c>
      <c r="Z87" s="426">
        <f t="shared" si="1"/>
        <v>255.6</v>
      </c>
    </row>
    <row r="88" spans="12:26" ht="15.75">
      <c r="L88" s="322">
        <v>10</v>
      </c>
      <c r="M88" s="322" t="s">
        <v>246</v>
      </c>
      <c r="N88" s="322"/>
      <c r="O88" s="425">
        <v>20.8</v>
      </c>
      <c r="P88" s="379">
        <v>222.7</v>
      </c>
      <c r="Q88" s="808">
        <v>25.8</v>
      </c>
      <c r="R88" s="426">
        <f t="shared" si="0"/>
        <v>269.3</v>
      </c>
      <c r="T88" s="322">
        <v>10</v>
      </c>
      <c r="U88" s="322" t="s">
        <v>246</v>
      </c>
      <c r="V88" s="322"/>
      <c r="W88" s="425">
        <v>20.8</v>
      </c>
      <c r="X88" s="379">
        <v>222.7</v>
      </c>
      <c r="Y88" s="808">
        <v>25.8</v>
      </c>
      <c r="Z88" s="426">
        <f t="shared" si="1"/>
        <v>269.3</v>
      </c>
    </row>
    <row r="89" spans="12:26" ht="15.75">
      <c r="L89" s="322">
        <v>11</v>
      </c>
      <c r="M89" s="322" t="s">
        <v>285</v>
      </c>
      <c r="N89" s="322"/>
      <c r="O89" s="425">
        <v>29.4</v>
      </c>
      <c r="P89" s="379">
        <v>222.7</v>
      </c>
      <c r="Q89" s="808">
        <v>25.9</v>
      </c>
      <c r="R89" s="426">
        <f t="shared" si="0"/>
        <v>278</v>
      </c>
      <c r="T89" s="322">
        <v>11</v>
      </c>
      <c r="U89" s="322" t="s">
        <v>285</v>
      </c>
      <c r="V89" s="322"/>
      <c r="W89" s="425">
        <v>29.4</v>
      </c>
      <c r="X89" s="379">
        <v>222.7</v>
      </c>
      <c r="Y89" s="808">
        <v>25.9</v>
      </c>
      <c r="Z89" s="426">
        <f t="shared" si="1"/>
        <v>278</v>
      </c>
    </row>
    <row r="90" spans="12:26" ht="15.75">
      <c r="L90" s="322">
        <v>12</v>
      </c>
      <c r="M90" s="322" t="s">
        <v>249</v>
      </c>
      <c r="N90" s="322"/>
      <c r="O90" s="425">
        <v>35.799999999999997</v>
      </c>
      <c r="P90" s="379">
        <v>222.7</v>
      </c>
      <c r="Q90" s="808">
        <f t="shared" si="2"/>
        <v>25.9</v>
      </c>
      <c r="R90" s="426">
        <f t="shared" si="0"/>
        <v>284.39999999999998</v>
      </c>
      <c r="T90" s="322">
        <v>12</v>
      </c>
      <c r="U90" s="322" t="s">
        <v>249</v>
      </c>
      <c r="V90" s="322"/>
      <c r="W90" s="425">
        <v>35.799999999999997</v>
      </c>
      <c r="X90" s="379">
        <v>222.7</v>
      </c>
      <c r="Y90" s="808">
        <f t="shared" si="3"/>
        <v>25.9</v>
      </c>
      <c r="Z90" s="426">
        <f t="shared" si="1"/>
        <v>284.39999999999998</v>
      </c>
    </row>
    <row r="91" spans="12:26" ht="15.75">
      <c r="L91" s="322">
        <v>13</v>
      </c>
      <c r="M91" s="322" t="s">
        <v>250</v>
      </c>
      <c r="N91" s="322"/>
      <c r="O91" s="425">
        <v>38.4</v>
      </c>
      <c r="P91" s="379">
        <v>222.7</v>
      </c>
      <c r="Q91" s="808">
        <v>25.8</v>
      </c>
      <c r="R91" s="426">
        <f t="shared" si="0"/>
        <v>286.89999999999998</v>
      </c>
      <c r="T91" s="322">
        <v>13</v>
      </c>
      <c r="U91" s="322" t="s">
        <v>250</v>
      </c>
      <c r="V91" s="322"/>
      <c r="W91" s="425">
        <v>38.4</v>
      </c>
      <c r="X91" s="379">
        <v>222.7</v>
      </c>
      <c r="Y91" s="808">
        <v>25.8</v>
      </c>
      <c r="Z91" s="426">
        <f t="shared" si="1"/>
        <v>286.89999999999998</v>
      </c>
    </row>
    <row r="92" spans="12:26" ht="15.75">
      <c r="L92" s="322">
        <v>14</v>
      </c>
      <c r="M92" s="322" t="s">
        <v>251</v>
      </c>
      <c r="N92" s="322"/>
      <c r="O92" s="425">
        <v>13</v>
      </c>
      <c r="P92" s="379">
        <v>222.7</v>
      </c>
      <c r="Q92" s="808">
        <v>25.8</v>
      </c>
      <c r="R92" s="426">
        <f t="shared" si="0"/>
        <v>261.5</v>
      </c>
      <c r="T92" s="322">
        <v>14</v>
      </c>
      <c r="U92" s="322" t="s">
        <v>251</v>
      </c>
      <c r="V92" s="322"/>
      <c r="W92" s="425">
        <v>13</v>
      </c>
      <c r="X92" s="379">
        <v>222.7</v>
      </c>
      <c r="Y92" s="808">
        <v>25.8</v>
      </c>
      <c r="Z92" s="426">
        <f t="shared" si="1"/>
        <v>261.5</v>
      </c>
    </row>
    <row r="93" spans="12:26" ht="15.75">
      <c r="L93" s="322">
        <v>15</v>
      </c>
      <c r="M93" s="322" t="s">
        <v>252</v>
      </c>
      <c r="N93" s="322"/>
      <c r="O93" s="425">
        <v>15.7</v>
      </c>
      <c r="P93" s="379">
        <v>222.7</v>
      </c>
      <c r="Q93" s="808">
        <f t="shared" si="2"/>
        <v>25.8</v>
      </c>
      <c r="R93" s="426">
        <f t="shared" si="0"/>
        <v>264.2</v>
      </c>
      <c r="T93" s="322">
        <v>15</v>
      </c>
      <c r="U93" s="322" t="s">
        <v>252</v>
      </c>
      <c r="V93" s="322"/>
      <c r="W93" s="425">
        <v>15.7</v>
      </c>
      <c r="X93" s="379">
        <v>222.7</v>
      </c>
      <c r="Y93" s="808">
        <f t="shared" si="3"/>
        <v>25.8</v>
      </c>
      <c r="Z93" s="426">
        <f t="shared" si="1"/>
        <v>264.2</v>
      </c>
    </row>
    <row r="94" spans="12:26" ht="15.75">
      <c r="L94" s="322">
        <v>16</v>
      </c>
      <c r="M94" s="322" t="s">
        <v>253</v>
      </c>
      <c r="N94" s="322"/>
      <c r="O94" s="427">
        <v>57.3</v>
      </c>
      <c r="P94" s="379">
        <v>222.7</v>
      </c>
      <c r="Q94" s="379">
        <v>25.9</v>
      </c>
      <c r="R94" s="426">
        <f t="shared" si="0"/>
        <v>305.89999999999998</v>
      </c>
      <c r="T94" s="322">
        <v>16</v>
      </c>
      <c r="U94" s="322" t="s">
        <v>253</v>
      </c>
      <c r="V94" s="322"/>
      <c r="W94" s="427">
        <v>57.3</v>
      </c>
      <c r="X94" s="379">
        <v>222.7</v>
      </c>
      <c r="Y94" s="379">
        <v>25.9</v>
      </c>
      <c r="Z94" s="426">
        <f t="shared" si="1"/>
        <v>305.89999999999998</v>
      </c>
    </row>
    <row r="95" spans="12:26" ht="15.75">
      <c r="L95" s="322">
        <v>17</v>
      </c>
      <c r="M95" s="322" t="s">
        <v>254</v>
      </c>
      <c r="N95" s="322"/>
      <c r="O95" s="478">
        <v>413.1</v>
      </c>
      <c r="P95" s="379"/>
      <c r="Q95" s="379">
        <v>36</v>
      </c>
      <c r="R95" s="239"/>
      <c r="T95" s="322">
        <v>17</v>
      </c>
      <c r="U95" s="322" t="s">
        <v>254</v>
      </c>
      <c r="V95" s="322"/>
      <c r="W95" s="478">
        <v>413.1</v>
      </c>
      <c r="X95" s="379"/>
      <c r="Y95" s="379">
        <v>36</v>
      </c>
      <c r="Z95" s="239"/>
    </row>
    <row r="96" spans="12:26" ht="15.75">
      <c r="L96" s="323"/>
      <c r="M96" s="323" t="s">
        <v>255</v>
      </c>
      <c r="N96" s="377">
        <f>SUM(N79:N95)</f>
        <v>0</v>
      </c>
      <c r="O96" s="377">
        <f>SUM(O79:O95)</f>
        <v>742.2</v>
      </c>
      <c r="P96" s="377">
        <f>SUM(P79:P95)</f>
        <v>3563.1999999999989</v>
      </c>
      <c r="Q96" s="377">
        <f>SUM(Q79:Q95)</f>
        <v>449.2</v>
      </c>
      <c r="R96" s="419">
        <f>O96+P96+Q96+N96</f>
        <v>4754.5999999999985</v>
      </c>
      <c r="T96" s="323"/>
      <c r="U96" s="323" t="s">
        <v>255</v>
      </c>
      <c r="V96" s="377">
        <f>SUM(V79:V95)</f>
        <v>0</v>
      </c>
      <c r="W96" s="377">
        <f>SUM(W79:W95)</f>
        <v>742.2</v>
      </c>
      <c r="X96" s="377">
        <f>SUM(X79:X95)</f>
        <v>3563.1999999999989</v>
      </c>
      <c r="Y96" s="377">
        <f>SUM(Y79:Y95)</f>
        <v>449.2</v>
      </c>
      <c r="Z96" s="419">
        <f>W96+X96+Y96+V96</f>
        <v>4754.5999999999985</v>
      </c>
    </row>
  </sheetData>
  <autoFilter ref="A10:I72"/>
  <mergeCells count="12">
    <mergeCell ref="L75:R76"/>
    <mergeCell ref="T75:Z76"/>
    <mergeCell ref="E10:E11"/>
    <mergeCell ref="F10:F11"/>
    <mergeCell ref="G10:G11"/>
    <mergeCell ref="H10:H11"/>
    <mergeCell ref="I10:I11"/>
    <mergeCell ref="A10:A11"/>
    <mergeCell ref="B10:B11"/>
    <mergeCell ref="C10:C11"/>
    <mergeCell ref="D10:D11"/>
    <mergeCell ref="B8:D8"/>
  </mergeCell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sheetPr enableFormatConditionsCalculation="0">
    <tabColor rgb="FF92D050"/>
  </sheetPr>
  <dimension ref="A1:H66"/>
  <sheetViews>
    <sheetView view="pageBreakPreview" topLeftCell="A40" zoomScale="80" zoomScaleNormal="80" zoomScaleSheetLayoutView="80" workbookViewId="0">
      <selection activeCell="A5" sqref="A5:XFD5"/>
    </sheetView>
  </sheetViews>
  <sheetFormatPr defaultRowHeight="15.75"/>
  <cols>
    <col min="1" max="1" width="70.85546875" style="72" customWidth="1"/>
    <col min="2" max="2" width="7.85546875" style="70" customWidth="1"/>
    <col min="3" max="3" width="12" style="70" customWidth="1"/>
    <col min="4" max="4" width="20.5703125" style="85" customWidth="1"/>
    <col min="5" max="5" width="22.140625" style="72" hidden="1" customWidth="1"/>
    <col min="6" max="6" width="21.5703125" style="70" customWidth="1"/>
    <col min="7" max="7" width="18.7109375" style="67" customWidth="1"/>
    <col min="8" max="8" width="13.42578125" style="67" bestFit="1" customWidth="1"/>
    <col min="9" max="9" width="30.42578125" style="67" customWidth="1"/>
    <col min="10" max="16384" width="9.140625" style="67"/>
  </cols>
  <sheetData>
    <row r="1" spans="1:8">
      <c r="B1" s="988" t="s">
        <v>74</v>
      </c>
      <c r="C1" s="988"/>
      <c r="D1" s="988"/>
      <c r="E1" s="375"/>
      <c r="F1" s="375"/>
    </row>
    <row r="2" spans="1:8">
      <c r="B2" s="988" t="s">
        <v>199</v>
      </c>
      <c r="C2" s="988"/>
      <c r="D2" s="988"/>
      <c r="E2" s="375"/>
      <c r="F2" s="375"/>
    </row>
    <row r="3" spans="1:8">
      <c r="B3" s="988" t="s">
        <v>190</v>
      </c>
      <c r="C3" s="988"/>
      <c r="D3" s="988"/>
      <c r="E3" s="375"/>
      <c r="F3" s="375"/>
    </row>
    <row r="4" spans="1:8">
      <c r="A4" s="988" t="s">
        <v>1329</v>
      </c>
      <c r="B4" s="988"/>
      <c r="C4" s="988"/>
      <c r="D4" s="988"/>
      <c r="E4" s="375"/>
      <c r="F4" s="375"/>
    </row>
    <row r="5" spans="1:8">
      <c r="A5" s="988" t="s">
        <v>1165</v>
      </c>
      <c r="B5" s="988"/>
      <c r="C5" s="988"/>
      <c r="D5" s="988"/>
      <c r="E5" s="375"/>
      <c r="F5" s="375"/>
    </row>
    <row r="6" spans="1:8" ht="15.75" customHeight="1">
      <c r="A6" s="986" t="s">
        <v>1166</v>
      </c>
      <c r="B6" s="986"/>
      <c r="C6" s="986"/>
      <c r="D6" s="986"/>
      <c r="E6" s="2"/>
      <c r="F6" s="2"/>
    </row>
    <row r="7" spans="1:8" ht="33" customHeight="1">
      <c r="A7" s="987" t="s">
        <v>1167</v>
      </c>
      <c r="B7" s="987"/>
      <c r="C7" s="987"/>
      <c r="D7" s="987"/>
    </row>
    <row r="8" spans="1:8">
      <c r="A8" s="246"/>
      <c r="B8" s="247"/>
      <c r="C8" s="247"/>
      <c r="D8" s="383" t="s">
        <v>150</v>
      </c>
    </row>
    <row r="9" spans="1:8" ht="63">
      <c r="A9" s="656" t="s">
        <v>204</v>
      </c>
      <c r="B9" s="656" t="s">
        <v>205</v>
      </c>
      <c r="C9" s="656" t="s">
        <v>206</v>
      </c>
      <c r="D9" s="657" t="s">
        <v>209</v>
      </c>
      <c r="E9" s="241" t="s">
        <v>38</v>
      </c>
      <c r="F9" s="147" t="s">
        <v>38</v>
      </c>
    </row>
    <row r="10" spans="1:8">
      <c r="A10" s="73" t="s">
        <v>59</v>
      </c>
      <c r="B10" s="103" t="s">
        <v>210</v>
      </c>
      <c r="C10" s="103"/>
      <c r="D10" s="384">
        <f>D11+D12+D13+D15+D17+D18+D14+D16</f>
        <v>57055.730690000004</v>
      </c>
      <c r="E10" s="384" t="e">
        <f>E11+E12+E13+E15+E17+E18+E14</f>
        <v>#REF!</v>
      </c>
      <c r="F10" s="384">
        <f>F11+F12+F13+F15+F17+F18+F14</f>
        <v>1682.7</v>
      </c>
      <c r="G10" s="197"/>
    </row>
    <row r="11" spans="1:8" s="71" customFormat="1" ht="31.5">
      <c r="A11" s="147" t="s">
        <v>60</v>
      </c>
      <c r="B11" s="96" t="s">
        <v>210</v>
      </c>
      <c r="C11" s="96" t="s">
        <v>211</v>
      </c>
      <c r="D11" s="199">
        <f>'пр. 10 2022г'!G71</f>
        <v>1709.66661</v>
      </c>
      <c r="E11" s="199">
        <f>'пр. 10 2022г'!H71</f>
        <v>0</v>
      </c>
      <c r="F11" s="199">
        <f>'пр. 10 2022г'!H71</f>
        <v>0</v>
      </c>
    </row>
    <row r="12" spans="1:8" ht="47.25">
      <c r="A12" s="76" t="s">
        <v>343</v>
      </c>
      <c r="B12" s="96" t="s">
        <v>210</v>
      </c>
      <c r="C12" s="96" t="s">
        <v>213</v>
      </c>
      <c r="D12" s="199">
        <f>'пр. 10 2022г'!G15</f>
        <v>1937.7358000000002</v>
      </c>
      <c r="E12" s="199">
        <f>'пр. 10 2022г'!H15</f>
        <v>0</v>
      </c>
      <c r="F12" s="199">
        <f>'пр. 10 2022г'!H15</f>
        <v>0</v>
      </c>
    </row>
    <row r="13" spans="1:8" s="71" customFormat="1" ht="47.25">
      <c r="A13" s="147" t="s">
        <v>266</v>
      </c>
      <c r="B13" s="96" t="s">
        <v>210</v>
      </c>
      <c r="C13" s="96" t="s">
        <v>219</v>
      </c>
      <c r="D13" s="199">
        <f>'пр. 10 2022г'!G79</f>
        <v>11050.28182</v>
      </c>
      <c r="E13" s="199">
        <f>'пр. 10 2022г'!H79</f>
        <v>0</v>
      </c>
      <c r="F13" s="199">
        <f>'пр. 10 2022г'!H79</f>
        <v>0</v>
      </c>
      <c r="G13" s="409"/>
    </row>
    <row r="14" spans="1:8">
      <c r="A14" s="76" t="s">
        <v>145</v>
      </c>
      <c r="B14" s="96" t="s">
        <v>210</v>
      </c>
      <c r="C14" s="96" t="s">
        <v>220</v>
      </c>
      <c r="D14" s="199">
        <f>'пр. 10 2022г'!G96</f>
        <v>112.2</v>
      </c>
      <c r="E14" s="199">
        <f>'пр. 10 2022г'!H96</f>
        <v>112.2</v>
      </c>
      <c r="F14" s="199">
        <f>'пр. 10 2022г'!H96</f>
        <v>112.2</v>
      </c>
    </row>
    <row r="15" spans="1:8" s="71" customFormat="1" ht="31.5">
      <c r="A15" s="147" t="s">
        <v>154</v>
      </c>
      <c r="B15" s="96" t="s">
        <v>210</v>
      </c>
      <c r="C15" s="96" t="s">
        <v>216</v>
      </c>
      <c r="D15" s="199">
        <f>'пр. 10 2022г'!G41+'пр. 10 2022г'!G27</f>
        <v>10658.506160000001</v>
      </c>
      <c r="E15" s="243" t="e">
        <f>#REF!+#REF!+#REF!+#REF!+#REF!</f>
        <v>#REF!</v>
      </c>
      <c r="F15" s="655">
        <f>'пр. 10 2022г'!H41+'пр. 10 2022г'!H27</f>
        <v>0</v>
      </c>
      <c r="G15" s="196"/>
      <c r="H15" s="409"/>
    </row>
    <row r="16" spans="1:8" s="71" customFormat="1">
      <c r="A16" s="147" t="s">
        <v>1286</v>
      </c>
      <c r="B16" s="96" t="s">
        <v>210</v>
      </c>
      <c r="C16" s="96" t="s">
        <v>212</v>
      </c>
      <c r="D16" s="199">
        <f>'пр. 10 2022г'!G102</f>
        <v>225.154</v>
      </c>
      <c r="E16" s="243"/>
      <c r="F16" s="655">
        <v>0</v>
      </c>
      <c r="G16" s="196"/>
      <c r="H16" s="409"/>
    </row>
    <row r="17" spans="1:8" s="71" customFormat="1">
      <c r="A17" s="147" t="s">
        <v>228</v>
      </c>
      <c r="B17" s="96" t="s">
        <v>210</v>
      </c>
      <c r="C17" s="96" t="s">
        <v>218</v>
      </c>
      <c r="D17" s="109">
        <f>'пр. 10 2022г'!G105</f>
        <v>500</v>
      </c>
      <c r="E17" s="243" t="e">
        <f>#REF!</f>
        <v>#REF!</v>
      </c>
      <c r="F17" s="655">
        <v>0</v>
      </c>
    </row>
    <row r="18" spans="1:8" s="71" customFormat="1">
      <c r="A18" s="163" t="s">
        <v>225</v>
      </c>
      <c r="B18" s="96" t="s">
        <v>210</v>
      </c>
      <c r="C18" s="96" t="s">
        <v>236</v>
      </c>
      <c r="D18" s="109">
        <f>'пр. 10 2022г'!G108</f>
        <v>30862.186300000001</v>
      </c>
      <c r="E18" s="109">
        <f>'пр. 10 2022г'!H108</f>
        <v>1570.5</v>
      </c>
      <c r="F18" s="109">
        <f>'пр. 10 2022г'!H108</f>
        <v>1570.5</v>
      </c>
      <c r="G18" s="409"/>
      <c r="H18" s="196"/>
    </row>
    <row r="19" spans="1:8" s="78" customFormat="1" ht="31.5">
      <c r="A19" s="73" t="s">
        <v>62</v>
      </c>
      <c r="B19" s="103" t="s">
        <v>213</v>
      </c>
      <c r="C19" s="103"/>
      <c r="D19" s="104">
        <f>D20</f>
        <v>2894.5</v>
      </c>
      <c r="E19" s="104" t="e">
        <f t="shared" ref="E19:F19" si="0">E20</f>
        <v>#REF!</v>
      </c>
      <c r="F19" s="104">
        <f t="shared" si="0"/>
        <v>0</v>
      </c>
    </row>
    <row r="20" spans="1:8" s="71" customFormat="1" ht="31.5">
      <c r="A20" s="147" t="s">
        <v>230</v>
      </c>
      <c r="B20" s="96" t="s">
        <v>213</v>
      </c>
      <c r="C20" s="96" t="s">
        <v>214</v>
      </c>
      <c r="D20" s="109">
        <f>'пр. 10 2022г'!G134</f>
        <v>2894.5</v>
      </c>
      <c r="E20" s="243" t="e">
        <f>#REF!</f>
        <v>#REF!</v>
      </c>
      <c r="F20" s="98">
        <f>'пр. 10 2022г'!H134</f>
        <v>0</v>
      </c>
    </row>
    <row r="21" spans="1:8" s="78" customFormat="1">
      <c r="A21" s="73" t="s">
        <v>63</v>
      </c>
      <c r="B21" s="103" t="s">
        <v>219</v>
      </c>
      <c r="C21" s="103"/>
      <c r="D21" s="104">
        <f>D22+D23+D24</f>
        <v>43376.107859999996</v>
      </c>
      <c r="E21" s="104" t="e">
        <f t="shared" ref="E21:F21" si="1">E22+E23+E24</f>
        <v>#REF!</v>
      </c>
      <c r="F21" s="104">
        <f t="shared" si="1"/>
        <v>21857.800000000003</v>
      </c>
    </row>
    <row r="22" spans="1:8" s="71" customFormat="1">
      <c r="A22" s="147" t="s">
        <v>227</v>
      </c>
      <c r="B22" s="96" t="s">
        <v>219</v>
      </c>
      <c r="C22" s="96" t="s">
        <v>220</v>
      </c>
      <c r="D22" s="109">
        <f>'пр. 10 2022г'!G141</f>
        <v>3395</v>
      </c>
      <c r="E22" s="243" t="e">
        <f>#REF!</f>
        <v>#REF!</v>
      </c>
      <c r="F22" s="98">
        <f>'пр. 10 2022г'!H141</f>
        <v>2194.9999999999995</v>
      </c>
    </row>
    <row r="23" spans="1:8" s="71" customFormat="1">
      <c r="A23" s="147" t="s">
        <v>264</v>
      </c>
      <c r="B23" s="96" t="s">
        <v>219</v>
      </c>
      <c r="C23" s="96" t="s">
        <v>214</v>
      </c>
      <c r="D23" s="109">
        <f>'пр. 10 2022г'!G163+'пр. 10 2022г'!G537</f>
        <v>17306.690999999999</v>
      </c>
      <c r="E23" s="243" t="e">
        <f>#REF!</f>
        <v>#REF!</v>
      </c>
      <c r="F23" s="98">
        <f>'пр. 10 2022г'!H163+'пр. 10 2022г'!H537</f>
        <v>7516.6</v>
      </c>
    </row>
    <row r="24" spans="1:8" s="71" customFormat="1">
      <c r="A24" s="147" t="s">
        <v>52</v>
      </c>
      <c r="B24" s="96" t="s">
        <v>219</v>
      </c>
      <c r="C24" s="96" t="s">
        <v>217</v>
      </c>
      <c r="D24" s="109">
        <f>'пр. 10 2022г'!G545+'пр. 10 2022г'!G167</f>
        <v>22674.416859999998</v>
      </c>
      <c r="E24" s="243" t="e">
        <f>#REF!+#REF!+#REF!+#REF!+#REF!+#REF!+#REF!+#REF!</f>
        <v>#REF!</v>
      </c>
      <c r="F24" s="98">
        <f>'пр. 10 2022г'!H545+'пр. 10 2022г'!H167</f>
        <v>12146.2</v>
      </c>
      <c r="G24" s="409"/>
    </row>
    <row r="25" spans="1:8" s="71" customFormat="1">
      <c r="A25" s="73" t="s">
        <v>64</v>
      </c>
      <c r="B25" s="103" t="s">
        <v>220</v>
      </c>
      <c r="C25" s="103"/>
      <c r="D25" s="104">
        <f>D27+D26</f>
        <v>34644.124790000002</v>
      </c>
      <c r="E25" s="104">
        <f t="shared" ref="E25:F25" si="2">E27+E26</f>
        <v>0</v>
      </c>
      <c r="F25" s="104">
        <f t="shared" si="2"/>
        <v>31589</v>
      </c>
    </row>
    <row r="26" spans="1:8" s="71" customFormat="1">
      <c r="A26" s="76" t="s">
        <v>575</v>
      </c>
      <c r="B26" s="96" t="s">
        <v>220</v>
      </c>
      <c r="C26" s="96" t="s">
        <v>211</v>
      </c>
      <c r="D26" s="109">
        <f>'пр. 10 2022г'!G565</f>
        <v>11098.88889</v>
      </c>
      <c r="E26" s="243"/>
      <c r="F26" s="98">
        <f>'пр. 10 2022г'!H566</f>
        <v>9989</v>
      </c>
    </row>
    <row r="27" spans="1:8" s="71" customFormat="1">
      <c r="A27" s="147" t="s">
        <v>49</v>
      </c>
      <c r="B27" s="96" t="s">
        <v>220</v>
      </c>
      <c r="C27" s="96" t="s">
        <v>220</v>
      </c>
      <c r="D27" s="109">
        <f>'пр. 10 2022г'!G572+'пр. 10 2022г'!G189</f>
        <v>23545.2359</v>
      </c>
      <c r="E27" s="243"/>
      <c r="F27" s="98">
        <f>'пр. 10 2022г'!H572</f>
        <v>21600</v>
      </c>
      <c r="H27" s="409"/>
    </row>
    <row r="28" spans="1:8">
      <c r="A28" s="164" t="s">
        <v>186</v>
      </c>
      <c r="B28" s="103" t="s">
        <v>216</v>
      </c>
      <c r="C28" s="103"/>
      <c r="D28" s="104">
        <f>D29</f>
        <v>100</v>
      </c>
      <c r="E28" s="104">
        <f t="shared" ref="E28:F28" si="3">E29</f>
        <v>0</v>
      </c>
      <c r="F28" s="104">
        <f t="shared" si="3"/>
        <v>0</v>
      </c>
    </row>
    <row r="29" spans="1:8" ht="31.5">
      <c r="A29" s="76" t="s">
        <v>187</v>
      </c>
      <c r="B29" s="96" t="s">
        <v>216</v>
      </c>
      <c r="C29" s="96" t="s">
        <v>213</v>
      </c>
      <c r="D29" s="109">
        <f>'пр. 10 2022г'!G195</f>
        <v>100</v>
      </c>
      <c r="E29" s="243"/>
      <c r="F29" s="98">
        <f>'пр. 10 2022г'!H195</f>
        <v>0</v>
      </c>
    </row>
    <row r="30" spans="1:8">
      <c r="A30" s="367" t="s">
        <v>65</v>
      </c>
      <c r="B30" s="366" t="s">
        <v>212</v>
      </c>
      <c r="C30" s="366"/>
      <c r="D30" s="384">
        <f>D31+D32+D34+D35+D36</f>
        <v>935124.28763000015</v>
      </c>
      <c r="E30" s="384" t="e">
        <f t="shared" ref="E30:F30" si="4">E31+E32+E34+E35+E36</f>
        <v>#REF!</v>
      </c>
      <c r="F30" s="384">
        <f t="shared" si="4"/>
        <v>750003.50000000023</v>
      </c>
      <c r="G30" s="197">
        <f>G31+G32+G34+G35+G36</f>
        <v>783746.5876300002</v>
      </c>
    </row>
    <row r="31" spans="1:8" s="78" customFormat="1">
      <c r="A31" s="147" t="s">
        <v>395</v>
      </c>
      <c r="B31" s="96" t="s">
        <v>212</v>
      </c>
      <c r="C31" s="96" t="s">
        <v>210</v>
      </c>
      <c r="D31" s="199">
        <f>'пр. 10 2022г'!G337+'пр. 10 2022г'!G592</f>
        <v>283459.44926000002</v>
      </c>
      <c r="E31" s="243" t="e">
        <f>#REF!</f>
        <v>#REF!</v>
      </c>
      <c r="F31" s="98">
        <f>'пр. 10 2022г'!H337+'пр. 10 2022г'!H592</f>
        <v>229577.929</v>
      </c>
      <c r="G31" s="731">
        <f>'пр. 10 2022г'!G337</f>
        <v>132081.74926000001</v>
      </c>
      <c r="H31" s="428"/>
    </row>
    <row r="32" spans="1:8">
      <c r="A32" s="147" t="s">
        <v>257</v>
      </c>
      <c r="B32" s="96" t="s">
        <v>212</v>
      </c>
      <c r="C32" s="96" t="s">
        <v>211</v>
      </c>
      <c r="D32" s="199">
        <f>'пр. 10 2022г'!G373</f>
        <v>574949.10407000012</v>
      </c>
      <c r="E32" s="243"/>
      <c r="F32" s="655">
        <f>'пр. 10 2022г'!H373</f>
        <v>485197.81500000012</v>
      </c>
      <c r="G32" s="197">
        <f>'пр. 10 2022г'!G373</f>
        <v>574949.10407000012</v>
      </c>
    </row>
    <row r="33" spans="1:8" ht="23.25" hidden="1" customHeight="1">
      <c r="A33" s="76" t="s">
        <v>338</v>
      </c>
      <c r="B33" s="96" t="s">
        <v>212</v>
      </c>
      <c r="C33" s="96" t="s">
        <v>211</v>
      </c>
      <c r="D33" s="109"/>
      <c r="E33" s="243"/>
      <c r="F33" s="98"/>
      <c r="G33" s="197"/>
    </row>
    <row r="34" spans="1:8" s="23" customFormat="1">
      <c r="A34" s="162" t="s">
        <v>461</v>
      </c>
      <c r="B34" s="149" t="s">
        <v>212</v>
      </c>
      <c r="C34" s="149" t="s">
        <v>213</v>
      </c>
      <c r="D34" s="199">
        <f>'пр. 10 2022г'!G433+'пр. 10 2022г'!G201</f>
        <v>46520.94139</v>
      </c>
      <c r="E34" s="244"/>
      <c r="F34" s="153">
        <f>'пр. 10 2022г'!H433+'пр. 10 2022г'!H201</f>
        <v>18297.400000000001</v>
      </c>
      <c r="G34" s="732">
        <f>'пр. 10 2022г'!G433+'пр. 10 2022г'!G201</f>
        <v>46520.94139</v>
      </c>
    </row>
    <row r="35" spans="1:8" s="23" customFormat="1">
      <c r="A35" s="147" t="s">
        <v>389</v>
      </c>
      <c r="B35" s="96" t="s">
        <v>212</v>
      </c>
      <c r="C35" s="96" t="s">
        <v>212</v>
      </c>
      <c r="D35" s="109">
        <f>'пр. 10 2022г'!G209+'пр. 10 2022г'!G457</f>
        <v>9766.3544399999992</v>
      </c>
      <c r="E35" s="244"/>
      <c r="F35" s="153">
        <f>'пр. 10 2022г'!H209+'пр. 10 2022г'!H457</f>
        <v>7092.0999999999995</v>
      </c>
      <c r="G35" s="732">
        <f>'пр. 10 2022г'!G457+'пр. 10 2022г'!G209</f>
        <v>9766.3544399999992</v>
      </c>
      <c r="H35" s="552">
        <f>D35-G35</f>
        <v>0</v>
      </c>
    </row>
    <row r="36" spans="1:8">
      <c r="A36" s="147" t="s">
        <v>397</v>
      </c>
      <c r="B36" s="96" t="s">
        <v>212</v>
      </c>
      <c r="C36" s="96" t="s">
        <v>214</v>
      </c>
      <c r="D36" s="109">
        <f>'пр. 10 2022г'!G483</f>
        <v>20428.438469999994</v>
      </c>
      <c r="E36" s="243"/>
      <c r="F36" s="98">
        <f>'пр. 10 2022г'!H483</f>
        <v>9838.2559999999994</v>
      </c>
      <c r="G36" s="197">
        <f>'пр. 10 2022г'!G483</f>
        <v>20428.438469999994</v>
      </c>
    </row>
    <row r="37" spans="1:8">
      <c r="A37" s="249" t="s">
        <v>66</v>
      </c>
      <c r="B37" s="336" t="s">
        <v>221</v>
      </c>
      <c r="C37" s="336"/>
      <c r="D37" s="122">
        <f>D38</f>
        <v>43876.017890000003</v>
      </c>
      <c r="E37" s="122">
        <f t="shared" ref="E37:F37" si="5">E38</f>
        <v>0</v>
      </c>
      <c r="F37" s="122">
        <f t="shared" si="5"/>
        <v>21294</v>
      </c>
    </row>
    <row r="38" spans="1:8">
      <c r="A38" s="147" t="s">
        <v>394</v>
      </c>
      <c r="B38" s="96" t="s">
        <v>221</v>
      </c>
      <c r="C38" s="96" t="s">
        <v>210</v>
      </c>
      <c r="D38" s="109">
        <f>'пр. 10 2022г'!G219</f>
        <v>43876.017890000003</v>
      </c>
      <c r="E38" s="243"/>
      <c r="F38" s="98">
        <f>'пр. 10 2022г'!H219</f>
        <v>21294</v>
      </c>
      <c r="G38" s="404"/>
    </row>
    <row r="39" spans="1:8" ht="18" customHeight="1">
      <c r="A39" s="73" t="s">
        <v>67</v>
      </c>
      <c r="B39" s="103" t="s">
        <v>215</v>
      </c>
      <c r="C39" s="103"/>
      <c r="D39" s="104">
        <f>D40+D41+D42+D43</f>
        <v>13641.989669999999</v>
      </c>
      <c r="E39" s="104" t="e">
        <f t="shared" ref="E39" si="6">E40+E41+E43</f>
        <v>#REF!</v>
      </c>
      <c r="F39" s="104">
        <f>F40+F41+F43+F42</f>
        <v>8809.6999999999989</v>
      </c>
      <c r="G39" s="404"/>
    </row>
    <row r="40" spans="1:8">
      <c r="A40" s="147" t="s">
        <v>226</v>
      </c>
      <c r="B40" s="96" t="s">
        <v>215</v>
      </c>
      <c r="C40" s="96" t="s">
        <v>210</v>
      </c>
      <c r="D40" s="109">
        <f>'пр. 10 2022г'!G231</f>
        <v>4147.7133199999998</v>
      </c>
      <c r="E40" s="243"/>
      <c r="F40" s="98">
        <f>'пр. 10 2022г'!H231</f>
        <v>0</v>
      </c>
    </row>
    <row r="41" spans="1:8" s="78" customFormat="1">
      <c r="A41" s="147" t="s">
        <v>391</v>
      </c>
      <c r="B41" s="96" t="s">
        <v>215</v>
      </c>
      <c r="C41" s="96" t="s">
        <v>213</v>
      </c>
      <c r="D41" s="109">
        <f>'пр. 10 2022г'!G233+'пр. 10 2022г'!G528</f>
        <v>3935.5</v>
      </c>
      <c r="E41" s="243" t="e">
        <f>#REF!+#REF!+#REF!+#REF!+#REF!</f>
        <v>#REF!</v>
      </c>
      <c r="F41" s="98">
        <f>'пр. 10 2022г'!H233+'пр. 10 2022г'!H528</f>
        <v>3815.5</v>
      </c>
      <c r="G41" s="428"/>
    </row>
    <row r="42" spans="1:8" s="78" customFormat="1">
      <c r="A42" s="76" t="s">
        <v>1111</v>
      </c>
      <c r="B42" s="96" t="s">
        <v>215</v>
      </c>
      <c r="C42" s="96" t="s">
        <v>219</v>
      </c>
      <c r="D42" s="655">
        <f>'пр. 10 2022г'!G247</f>
        <v>2717.6763499999997</v>
      </c>
      <c r="E42" s="655">
        <f>'пр. 10 2022г'!H247</f>
        <v>2153.1</v>
      </c>
      <c r="F42" s="655">
        <f>'пр. 10 2022г'!H247</f>
        <v>2153.1</v>
      </c>
      <c r="G42" s="428"/>
    </row>
    <row r="43" spans="1:8">
      <c r="A43" s="147" t="s">
        <v>392</v>
      </c>
      <c r="B43" s="96" t="s">
        <v>215</v>
      </c>
      <c r="C43" s="96" t="s">
        <v>216</v>
      </c>
      <c r="D43" s="109">
        <f>'пр. 10 2022г'!G255</f>
        <v>2841.0999999999995</v>
      </c>
      <c r="E43" s="243"/>
      <c r="F43" s="98">
        <f>'пр. 10 2022г'!H255</f>
        <v>2841.0999999999995</v>
      </c>
    </row>
    <row r="44" spans="1:8">
      <c r="A44" s="73" t="s">
        <v>68</v>
      </c>
      <c r="B44" s="103" t="s">
        <v>218</v>
      </c>
      <c r="C44" s="103"/>
      <c r="D44" s="104">
        <f>D45+D46+D47</f>
        <v>18591.261460000002</v>
      </c>
      <c r="E44" s="104" t="e">
        <f t="shared" ref="E44:F44" si="7">E45+E46+E47</f>
        <v>#REF!</v>
      </c>
      <c r="F44" s="104">
        <f t="shared" si="7"/>
        <v>8401.6</v>
      </c>
    </row>
    <row r="45" spans="1:8">
      <c r="A45" s="147" t="s">
        <v>69</v>
      </c>
      <c r="B45" s="96" t="s">
        <v>218</v>
      </c>
      <c r="C45" s="96" t="s">
        <v>210</v>
      </c>
      <c r="D45" s="109">
        <f>'пр. 10 2022г'!G272</f>
        <v>1497.1</v>
      </c>
      <c r="E45" s="243" t="e">
        <f>#REF!+#REF!</f>
        <v>#REF!</v>
      </c>
      <c r="F45" s="98">
        <f>'пр. 10 2022г'!H272</f>
        <v>0</v>
      </c>
    </row>
    <row r="46" spans="1:8">
      <c r="A46" s="147" t="s">
        <v>256</v>
      </c>
      <c r="B46" s="96" t="s">
        <v>218</v>
      </c>
      <c r="C46" s="96" t="s">
        <v>211</v>
      </c>
      <c r="D46" s="109">
        <f>'пр. 10 2022г'!G278</f>
        <v>1529.44991</v>
      </c>
      <c r="E46" s="243"/>
      <c r="F46" s="98">
        <f>'пр. 10 2022г'!H278</f>
        <v>656.40000000000009</v>
      </c>
    </row>
    <row r="47" spans="1:8" s="75" customFormat="1">
      <c r="A47" s="163" t="s">
        <v>724</v>
      </c>
      <c r="B47" s="96" t="s">
        <v>218</v>
      </c>
      <c r="C47" s="96" t="s">
        <v>213</v>
      </c>
      <c r="D47" s="109">
        <f>'пр. 10 2022г'!G287</f>
        <v>15564.71155</v>
      </c>
      <c r="E47" s="243"/>
      <c r="F47" s="98">
        <f>'пр. 10 2022г'!H287</f>
        <v>7745.2</v>
      </c>
    </row>
    <row r="48" spans="1:8" s="75" customFormat="1">
      <c r="A48" s="73" t="s">
        <v>70</v>
      </c>
      <c r="B48" s="103" t="s">
        <v>217</v>
      </c>
      <c r="C48" s="103"/>
      <c r="D48" s="104">
        <f t="shared" ref="D48:F48" si="8">D49</f>
        <v>609.33486000000005</v>
      </c>
      <c r="E48" s="104" t="e">
        <f t="shared" si="8"/>
        <v>#REF!</v>
      </c>
      <c r="F48" s="104">
        <f t="shared" si="8"/>
        <v>0</v>
      </c>
    </row>
    <row r="49" spans="1:7">
      <c r="A49" s="147" t="s">
        <v>235</v>
      </c>
      <c r="B49" s="96" t="s">
        <v>217</v>
      </c>
      <c r="C49" s="96" t="s">
        <v>211</v>
      </c>
      <c r="D49" s="109">
        <f>'пр. 10 2022г'!G297</f>
        <v>609.33486000000005</v>
      </c>
      <c r="E49" s="243" t="e">
        <f>#REF!</f>
        <v>#REF!</v>
      </c>
      <c r="F49" s="98">
        <f>'пр. 10 2022г'!H297</f>
        <v>0</v>
      </c>
    </row>
    <row r="50" spans="1:7" hidden="1">
      <c r="A50" s="169" t="s">
        <v>974</v>
      </c>
      <c r="B50" s="96" t="s">
        <v>236</v>
      </c>
      <c r="C50" s="96"/>
      <c r="D50" s="109">
        <f>D51</f>
        <v>0</v>
      </c>
      <c r="E50" s="243"/>
      <c r="F50" s="98">
        <v>0</v>
      </c>
    </row>
    <row r="51" spans="1:7" ht="31.5" hidden="1">
      <c r="A51" s="334" t="s">
        <v>989</v>
      </c>
      <c r="B51" s="96" t="s">
        <v>236</v>
      </c>
      <c r="C51" s="96" t="s">
        <v>210</v>
      </c>
      <c r="D51" s="109">
        <f>'пр. 10 2022г'!G56</f>
        <v>0</v>
      </c>
      <c r="E51" s="243"/>
      <c r="F51" s="98">
        <v>0</v>
      </c>
    </row>
    <row r="52" spans="1:7" ht="47.25">
      <c r="A52" s="249" t="s">
        <v>71</v>
      </c>
      <c r="B52" s="336" t="s">
        <v>223</v>
      </c>
      <c r="C52" s="336"/>
      <c r="D52" s="122">
        <f>D53+D54</f>
        <v>46061.545150000005</v>
      </c>
      <c r="E52" s="122" t="e">
        <f t="shared" ref="E52:F52" si="9">E53+E54</f>
        <v>#REF!</v>
      </c>
      <c r="F52" s="122">
        <f t="shared" si="9"/>
        <v>10313.599999999999</v>
      </c>
    </row>
    <row r="53" spans="1:7" s="71" customFormat="1" ht="31.5">
      <c r="A53" s="239" t="s">
        <v>72</v>
      </c>
      <c r="B53" s="149" t="s">
        <v>223</v>
      </c>
      <c r="C53" s="149" t="s">
        <v>210</v>
      </c>
      <c r="D53" s="148">
        <f>'пр. 10 2022г'!G59</f>
        <v>96.3</v>
      </c>
      <c r="E53" s="243" t="e">
        <f>#REF!</f>
        <v>#REF!</v>
      </c>
      <c r="F53" s="98">
        <f>'пр. 10 2022г'!H59</f>
        <v>96.3</v>
      </c>
    </row>
    <row r="54" spans="1:7" s="78" customFormat="1">
      <c r="A54" s="239" t="s">
        <v>73</v>
      </c>
      <c r="B54" s="149" t="s">
        <v>223</v>
      </c>
      <c r="C54" s="149" t="s">
        <v>213</v>
      </c>
      <c r="D54" s="148">
        <f>'пр. 10 2022г'!G64+'пр. 10 2022г'!G303</f>
        <v>45965.245150000002</v>
      </c>
      <c r="E54" s="243" t="e">
        <f>#REF!+#REF!</f>
        <v>#REF!</v>
      </c>
      <c r="F54" s="98">
        <f>'пр. 10 2022г'!H64+'пр. 10 2022г'!H303</f>
        <v>10217.299999999999</v>
      </c>
      <c r="G54" s="428"/>
    </row>
    <row r="55" spans="1:7" s="75" customFormat="1" ht="21.75" customHeight="1">
      <c r="A55" s="362" t="s">
        <v>222</v>
      </c>
      <c r="B55" s="335"/>
      <c r="C55" s="335"/>
      <c r="D55" s="122">
        <f>D10+D19+D21+D25+D28+D30+D37+D39+D44+D48+D52+D51</f>
        <v>1195974.9000000001</v>
      </c>
      <c r="E55" s="122" t="e">
        <f>E10+E19+E21+E25+E28+E30+E37+E39+E44+E48+E52+E51</f>
        <v>#REF!</v>
      </c>
      <c r="F55" s="122">
        <f>F10+F19+F21+F25+F28+F30+F37+F39+F44+F48+F52+F51</f>
        <v>853951.90000000014</v>
      </c>
    </row>
    <row r="56" spans="1:7" s="75" customFormat="1">
      <c r="A56" s="72"/>
      <c r="B56" s="70"/>
      <c r="C56" s="70"/>
      <c r="D56" s="85"/>
      <c r="E56" s="243"/>
      <c r="F56" s="91"/>
    </row>
    <row r="57" spans="1:7" s="75" customFormat="1">
      <c r="A57" s="70"/>
      <c r="B57" s="70"/>
      <c r="C57" s="70"/>
      <c r="D57" s="85">
        <f>'пр. 10 2022г'!G597</f>
        <v>1195974.9000000004</v>
      </c>
      <c r="E57" s="243"/>
      <c r="F57" s="91">
        <f>'пр. 10 2022г'!H597</f>
        <v>853951.90000000014</v>
      </c>
    </row>
    <row r="58" spans="1:7" s="75" customFormat="1">
      <c r="A58" s="72"/>
      <c r="B58" s="70"/>
      <c r="C58" s="70"/>
      <c r="D58" s="85">
        <f>D57-D55</f>
        <v>0</v>
      </c>
      <c r="F58" s="596">
        <f>F57-F55</f>
        <v>0</v>
      </c>
    </row>
    <row r="59" spans="1:7" s="75" customFormat="1">
      <c r="A59" s="70"/>
      <c r="B59" s="70"/>
      <c r="C59" s="70"/>
      <c r="D59" s="85"/>
      <c r="F59" s="91"/>
    </row>
    <row r="60" spans="1:7" s="75" customFormat="1">
      <c r="A60" s="70"/>
      <c r="B60" s="70"/>
      <c r="C60" s="70"/>
      <c r="D60" s="85"/>
      <c r="F60" s="91"/>
    </row>
    <row r="61" spans="1:7">
      <c r="E61" s="242" t="e">
        <f>E10+E19+E21+#REF!+E31+#REF!+#REF!+#REF!+E41+#REF!+#REF!+E52+E54</f>
        <v>#REF!</v>
      </c>
    </row>
    <row r="63" spans="1:7">
      <c r="E63" s="72">
        <f>'[1]пр. 7'!H758</f>
        <v>388583.76954000001</v>
      </c>
    </row>
    <row r="65" spans="5:5">
      <c r="E65" s="81" t="e">
        <f>E63-E61</f>
        <v>#REF!</v>
      </c>
    </row>
    <row r="66" spans="5:5">
      <c r="E66" s="82"/>
    </row>
  </sheetData>
  <autoFilter ref="A9:D55"/>
  <mergeCells count="7">
    <mergeCell ref="A6:D6"/>
    <mergeCell ref="A7:D7"/>
    <mergeCell ref="B1:D1"/>
    <mergeCell ref="B2:D2"/>
    <mergeCell ref="B3:D3"/>
    <mergeCell ref="A4:D4"/>
    <mergeCell ref="A5:D5"/>
  </mergeCells>
  <phoneticPr fontId="16" type="noConversion"/>
  <pageMargins left="0.70866141732283472" right="0.70866141732283472" top="0.35433070866141736" bottom="0.31496062992125984" header="0.31496062992125984" footer="0.31496062992125984"/>
  <pageSetup paperSize="9" scale="75" fitToWidth="13" fitToHeight="9"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J62"/>
  <sheetViews>
    <sheetView view="pageBreakPreview" zoomScale="81" zoomScaleSheetLayoutView="81" workbookViewId="0">
      <selection activeCell="A24" sqref="A24"/>
    </sheetView>
  </sheetViews>
  <sheetFormatPr defaultRowHeight="15.75"/>
  <cols>
    <col min="1" max="1" width="76.140625" style="72" customWidth="1"/>
    <col min="2" max="2" width="8.140625" style="70" customWidth="1"/>
    <col min="3" max="3" width="12.42578125" style="70" customWidth="1"/>
    <col min="4" max="4" width="18.42578125" style="85" customWidth="1"/>
    <col min="5" max="5" width="22.140625" style="385" hidden="1" customWidth="1"/>
    <col min="6" max="6" width="18.42578125" style="85" customWidth="1"/>
    <col min="7" max="7" width="17.42578125" style="67" customWidth="1"/>
    <col min="8" max="8" width="19.5703125" style="67" customWidth="1"/>
    <col min="9" max="10" width="13.5703125" style="67" bestFit="1" customWidth="1"/>
    <col min="11" max="16384" width="9.140625" style="67"/>
  </cols>
  <sheetData>
    <row r="1" spans="1:10">
      <c r="C1" s="72"/>
      <c r="D1" s="70"/>
      <c r="E1" s="70"/>
      <c r="F1" s="640" t="s">
        <v>920</v>
      </c>
    </row>
    <row r="2" spans="1:10">
      <c r="C2" s="72"/>
      <c r="D2" s="70"/>
      <c r="E2" s="70"/>
      <c r="F2" s="640" t="s">
        <v>199</v>
      </c>
    </row>
    <row r="3" spans="1:10">
      <c r="C3" s="72"/>
      <c r="D3" s="70"/>
      <c r="E3" s="70"/>
      <c r="F3" s="640" t="s">
        <v>298</v>
      </c>
    </row>
    <row r="4" spans="1:10">
      <c r="C4" s="72"/>
      <c r="D4" s="70"/>
      <c r="E4" s="70"/>
      <c r="F4" s="640" t="s">
        <v>148</v>
      </c>
    </row>
    <row r="5" spans="1:10">
      <c r="C5" s="72"/>
      <c r="D5" s="70"/>
      <c r="E5" s="70"/>
      <c r="F5" s="640" t="s">
        <v>299</v>
      </c>
    </row>
    <row r="6" spans="1:10">
      <c r="C6" s="72"/>
      <c r="D6" s="70"/>
      <c r="E6" s="70"/>
      <c r="F6" s="791" t="s">
        <v>1168</v>
      </c>
    </row>
    <row r="7" spans="1:10">
      <c r="C7" s="72"/>
      <c r="D7" s="986" t="s">
        <v>1135</v>
      </c>
      <c r="E7" s="986"/>
      <c r="F7" s="986"/>
    </row>
    <row r="8" spans="1:10">
      <c r="A8" s="987" t="s">
        <v>599</v>
      </c>
      <c r="B8" s="987"/>
      <c r="C8" s="987"/>
      <c r="D8" s="987"/>
      <c r="F8" s="404"/>
    </row>
    <row r="9" spans="1:10">
      <c r="A9" s="246"/>
      <c r="B9" s="247"/>
      <c r="C9" s="247"/>
      <c r="D9" s="383" t="s">
        <v>150</v>
      </c>
      <c r="F9" s="383" t="s">
        <v>150</v>
      </c>
    </row>
    <row r="10" spans="1:10" ht="63">
      <c r="A10" s="161" t="s">
        <v>204</v>
      </c>
      <c r="B10" s="161" t="s">
        <v>205</v>
      </c>
      <c r="C10" s="161" t="s">
        <v>58</v>
      </c>
      <c r="D10" s="89" t="s">
        <v>792</v>
      </c>
      <c r="E10" s="405" t="s">
        <v>38</v>
      </c>
      <c r="F10" s="89" t="s">
        <v>1169</v>
      </c>
    </row>
    <row r="11" spans="1:10">
      <c r="A11" s="73" t="s">
        <v>59</v>
      </c>
      <c r="B11" s="103" t="s">
        <v>210</v>
      </c>
      <c r="C11" s="103"/>
      <c r="D11" s="122">
        <f>D12+D13+D14+D15+D16+D17+D18</f>
        <v>61298.430999999997</v>
      </c>
      <c r="E11" s="122" t="e">
        <f t="shared" ref="E11:F11" si="0">E12+E13+E14+E15+E16+E17+E18</f>
        <v>#REF!</v>
      </c>
      <c r="F11" s="122">
        <f t="shared" si="0"/>
        <v>66371.241000000009</v>
      </c>
      <c r="G11" s="197"/>
      <c r="H11" s="404"/>
      <c r="J11" s="404"/>
    </row>
    <row r="12" spans="1:10" s="71" customFormat="1" ht="31.5">
      <c r="A12" s="147" t="s">
        <v>60</v>
      </c>
      <c r="B12" s="96" t="s">
        <v>210</v>
      </c>
      <c r="C12" s="96" t="s">
        <v>211</v>
      </c>
      <c r="D12" s="199">
        <f>'пр.11 2023-2024г'!G63</f>
        <v>2101.87</v>
      </c>
      <c r="E12" s="112" t="e">
        <f>#REF!</f>
        <v>#REF!</v>
      </c>
      <c r="F12" s="199">
        <f>'пр.11 2023-2024г'!H63</f>
        <v>3147.8</v>
      </c>
    </row>
    <row r="13" spans="1:10" s="75" customFormat="1" ht="47.25">
      <c r="A13" s="147" t="s">
        <v>61</v>
      </c>
      <c r="B13" s="96" t="s">
        <v>210</v>
      </c>
      <c r="C13" s="96" t="s">
        <v>213</v>
      </c>
      <c r="D13" s="199">
        <f>'пр.11 2023-2024г'!G15</f>
        <v>2622.7429999999999</v>
      </c>
      <c r="E13" s="199" t="e">
        <f>#REF!</f>
        <v>#REF!</v>
      </c>
      <c r="F13" s="199">
        <f>'пр.11 2023-2024г'!H15</f>
        <v>2622.7429999999999</v>
      </c>
    </row>
    <row r="14" spans="1:10" s="71" customFormat="1" ht="47.25">
      <c r="A14" s="147" t="s">
        <v>266</v>
      </c>
      <c r="B14" s="96" t="s">
        <v>210</v>
      </c>
      <c r="C14" s="96" t="s">
        <v>219</v>
      </c>
      <c r="D14" s="199">
        <f>'пр.11 2023-2024г'!G71</f>
        <v>12888.207999999999</v>
      </c>
      <c r="E14" s="199" t="e">
        <f>#REF!+#REF!+#REF!+#REF!</f>
        <v>#REF!</v>
      </c>
      <c r="F14" s="199">
        <f>'пр.11 2023-2024г'!H71</f>
        <v>16915.688000000002</v>
      </c>
      <c r="I14" s="409"/>
      <c r="J14" s="409"/>
    </row>
    <row r="15" spans="1:10">
      <c r="A15" s="76" t="s">
        <v>145</v>
      </c>
      <c r="B15" s="96" t="s">
        <v>210</v>
      </c>
      <c r="C15" s="96" t="s">
        <v>220</v>
      </c>
      <c r="D15" s="199">
        <f>'пр.11 2023-2024г'!G88</f>
        <v>6.1</v>
      </c>
      <c r="E15" s="112" t="e">
        <f>#REF!</f>
        <v>#REF!</v>
      </c>
      <c r="F15" s="199">
        <f>'пр.11 2023-2024г'!H87</f>
        <v>5.5</v>
      </c>
    </row>
    <row r="16" spans="1:10" s="71" customFormat="1" ht="31.5">
      <c r="A16" s="147" t="s">
        <v>154</v>
      </c>
      <c r="B16" s="96" t="s">
        <v>210</v>
      </c>
      <c r="C16" s="96" t="s">
        <v>216</v>
      </c>
      <c r="D16" s="148">
        <f>'пр.11 2023-2024г'!G27+'пр.11 2023-2024г'!G41</f>
        <v>10912.91</v>
      </c>
      <c r="E16" s="148" t="e">
        <f>#REF!+#REF!+#REF!+#REF!</f>
        <v>#REF!</v>
      </c>
      <c r="F16" s="148">
        <f>'пр.11 2023-2024г'!H27+'пр.11 2023-2024г'!H41</f>
        <v>10912.91</v>
      </c>
      <c r="G16" s="196"/>
      <c r="H16" s="196"/>
    </row>
    <row r="17" spans="1:10" s="71" customFormat="1">
      <c r="A17" s="147" t="s">
        <v>228</v>
      </c>
      <c r="B17" s="96" t="s">
        <v>210</v>
      </c>
      <c r="C17" s="96" t="s">
        <v>218</v>
      </c>
      <c r="D17" s="199">
        <f>'пр.11 2023-2024г'!G94</f>
        <v>500</v>
      </c>
      <c r="E17" s="112" t="e">
        <f>#REF!</f>
        <v>#REF!</v>
      </c>
      <c r="F17" s="199">
        <f>'пр.11 2023-2024г'!H94</f>
        <v>500</v>
      </c>
    </row>
    <row r="18" spans="1:10" s="71" customFormat="1">
      <c r="A18" s="163" t="s">
        <v>225</v>
      </c>
      <c r="B18" s="149" t="s">
        <v>210</v>
      </c>
      <c r="C18" s="149" t="s">
        <v>236</v>
      </c>
      <c r="D18" s="148">
        <f>'пр.11 2023-2024г'!G97</f>
        <v>32266.6</v>
      </c>
      <c r="E18" s="148" t="e">
        <f>#REF!+#REF!</f>
        <v>#REF!</v>
      </c>
      <c r="F18" s="148">
        <f>'пр.11 2023-2024г'!H97</f>
        <v>32266.6</v>
      </c>
      <c r="H18" s="196"/>
      <c r="I18" s="409"/>
      <c r="J18" s="409"/>
    </row>
    <row r="19" spans="1:10" s="71" customFormat="1" ht="31.5">
      <c r="A19" s="73" t="s">
        <v>62</v>
      </c>
      <c r="B19" s="103" t="s">
        <v>213</v>
      </c>
      <c r="C19" s="103"/>
      <c r="D19" s="104">
        <f>D20</f>
        <v>2600</v>
      </c>
      <c r="E19" s="104" t="e">
        <f t="shared" ref="E19:F19" si="1">E20</f>
        <v>#REF!</v>
      </c>
      <c r="F19" s="104">
        <f t="shared" si="1"/>
        <v>0</v>
      </c>
      <c r="H19" s="196"/>
      <c r="I19" s="409"/>
      <c r="J19" s="409"/>
    </row>
    <row r="20" spans="1:10" s="71" customFormat="1" ht="31.5">
      <c r="A20" s="147" t="s">
        <v>230</v>
      </c>
      <c r="B20" s="96" t="s">
        <v>213</v>
      </c>
      <c r="C20" s="96" t="s">
        <v>214</v>
      </c>
      <c r="D20" s="199">
        <f>'пр.11 2023-2024г'!G123</f>
        <v>2600</v>
      </c>
      <c r="E20" s="199" t="e">
        <f>#REF!+#REF!</f>
        <v>#REF!</v>
      </c>
      <c r="F20" s="199">
        <f>'пр.11 2023-2024г'!H123</f>
        <v>0</v>
      </c>
    </row>
    <row r="21" spans="1:10" s="78" customFormat="1">
      <c r="A21" s="73" t="s">
        <v>63</v>
      </c>
      <c r="B21" s="103" t="s">
        <v>219</v>
      </c>
      <c r="C21" s="103"/>
      <c r="D21" s="104">
        <f>D22+D23+D24</f>
        <v>31709.8</v>
      </c>
      <c r="E21" s="104" t="e">
        <f>E22+E23+E24</f>
        <v>#REF!</v>
      </c>
      <c r="F21" s="104">
        <f>F22+F23+F24</f>
        <v>30219.25</v>
      </c>
      <c r="I21" s="428"/>
    </row>
    <row r="22" spans="1:10" s="71" customFormat="1">
      <c r="A22" s="147" t="s">
        <v>227</v>
      </c>
      <c r="B22" s="96" t="s">
        <v>219</v>
      </c>
      <c r="C22" s="96" t="s">
        <v>220</v>
      </c>
      <c r="D22" s="199">
        <f>'пр.11 2023-2024г'!G130</f>
        <v>2194.9999999999995</v>
      </c>
      <c r="E22" s="199" t="e">
        <f>#REF!+#REF!</f>
        <v>#REF!</v>
      </c>
      <c r="F22" s="199">
        <f>'пр.11 2023-2024г'!H130</f>
        <v>1873.2999999999997</v>
      </c>
    </row>
    <row r="23" spans="1:10" ht="31.5">
      <c r="A23" s="76" t="s">
        <v>1330</v>
      </c>
      <c r="B23" s="149" t="s">
        <v>219</v>
      </c>
      <c r="C23" s="149" t="s">
        <v>214</v>
      </c>
      <c r="D23" s="199">
        <f>'пр.11 2023-2024г'!G434</f>
        <v>16088.3</v>
      </c>
      <c r="E23" s="199" t="e">
        <f>#REF!+#REF!+#REF!+#REF!</f>
        <v>#REF!</v>
      </c>
      <c r="F23" s="199">
        <f>'пр.11 2023-2024г'!H434</f>
        <v>14875.1</v>
      </c>
    </row>
    <row r="24" spans="1:10" s="71" customFormat="1">
      <c r="A24" s="147" t="s">
        <v>52</v>
      </c>
      <c r="B24" s="96" t="s">
        <v>219</v>
      </c>
      <c r="C24" s="96" t="s">
        <v>217</v>
      </c>
      <c r="D24" s="199">
        <f>'пр.11 2023-2024г'!G440+'пр.11 2023-2024г'!G163</f>
        <v>13426.5</v>
      </c>
      <c r="E24" s="199" t="e">
        <f>#REF!+#REF!+#REF!+#REF!+#REF!+#REF!</f>
        <v>#REF!</v>
      </c>
      <c r="F24" s="199">
        <f>'пр.11 2023-2024г'!H163+'пр.11 2023-2024г'!H440</f>
        <v>13470.85</v>
      </c>
      <c r="J24" s="409"/>
    </row>
    <row r="25" spans="1:10" s="78" customFormat="1">
      <c r="A25" s="73" t="s">
        <v>64</v>
      </c>
      <c r="B25" s="103" t="s">
        <v>220</v>
      </c>
      <c r="C25" s="103"/>
      <c r="D25" s="104">
        <f>D26</f>
        <v>24765.368899999998</v>
      </c>
      <c r="E25" s="406" t="e">
        <f>E26</f>
        <v>#REF!</v>
      </c>
      <c r="F25" s="104">
        <f>F26</f>
        <v>1693.3688999999999</v>
      </c>
    </row>
    <row r="26" spans="1:10" s="71" customFormat="1">
      <c r="A26" s="147" t="s">
        <v>49</v>
      </c>
      <c r="B26" s="96" t="s">
        <v>220</v>
      </c>
      <c r="C26" s="96" t="s">
        <v>220</v>
      </c>
      <c r="D26" s="199">
        <f>'пр.11 2023-2024г'!G456</f>
        <v>24765.368899999998</v>
      </c>
      <c r="E26" s="199" t="e">
        <f>#REF!+#REF!+#REF!</f>
        <v>#REF!</v>
      </c>
      <c r="F26" s="199">
        <f>'пр.11 2023-2024г'!H456</f>
        <v>1693.3688999999999</v>
      </c>
    </row>
    <row r="27" spans="1:10" s="78" customFormat="1">
      <c r="A27" s="164" t="s">
        <v>186</v>
      </c>
      <c r="B27" s="103" t="s">
        <v>216</v>
      </c>
      <c r="C27" s="103"/>
      <c r="D27" s="104">
        <f>D28</f>
        <v>100</v>
      </c>
      <c r="E27" s="406" t="e">
        <f>#REF!</f>
        <v>#REF!</v>
      </c>
      <c r="F27" s="104">
        <f>F28</f>
        <v>100</v>
      </c>
    </row>
    <row r="28" spans="1:10" s="78" customFormat="1">
      <c r="A28" s="76" t="s">
        <v>187</v>
      </c>
      <c r="B28" s="96" t="s">
        <v>216</v>
      </c>
      <c r="C28" s="96" t="s">
        <v>213</v>
      </c>
      <c r="D28" s="109">
        <f>'пр.11 2023-2024г'!G186</f>
        <v>100</v>
      </c>
      <c r="E28" s="243"/>
      <c r="F28" s="655">
        <f>'пр.11 2023-2024г'!H186</f>
        <v>100</v>
      </c>
    </row>
    <row r="29" spans="1:10">
      <c r="A29" s="363" t="s">
        <v>65</v>
      </c>
      <c r="B29" s="364" t="s">
        <v>212</v>
      </c>
      <c r="C29" s="364"/>
      <c r="D29" s="380">
        <f>D30+D31+D32+D33+D34</f>
        <v>850462.07900999999</v>
      </c>
      <c r="E29" s="380" t="e">
        <f>E30+E31+E32+E33+E34</f>
        <v>#REF!</v>
      </c>
      <c r="F29" s="380">
        <f>F30+F31+F32+F33+F34</f>
        <v>806995.37927000003</v>
      </c>
      <c r="G29" s="197"/>
      <c r="H29" s="197"/>
      <c r="I29" s="404"/>
      <c r="J29" s="404"/>
    </row>
    <row r="30" spans="1:10">
      <c r="A30" s="147" t="s">
        <v>395</v>
      </c>
      <c r="B30" s="96" t="s">
        <v>212</v>
      </c>
      <c r="C30" s="96" t="s">
        <v>210</v>
      </c>
      <c r="D30" s="148">
        <f>'пр.11 2023-2024г'!G331+'пр.11 2023-2024г'!G475</f>
        <v>191710.52325999999</v>
      </c>
      <c r="E30" s="148" t="e">
        <f>#REF!+#REF!</f>
        <v>#REF!</v>
      </c>
      <c r="F30" s="148">
        <f>'пр.11 2023-2024г'!H331</f>
        <v>126696.32326</v>
      </c>
      <c r="H30" s="404"/>
    </row>
    <row r="31" spans="1:10">
      <c r="A31" s="147" t="s">
        <v>257</v>
      </c>
      <c r="B31" s="96" t="s">
        <v>212</v>
      </c>
      <c r="C31" s="96" t="s">
        <v>211</v>
      </c>
      <c r="D31" s="148">
        <f>'пр.11 2023-2024г'!G345</f>
        <v>564346.3997500001</v>
      </c>
      <c r="E31" s="148" t="e">
        <f>#REF!+#REF!+#REF!</f>
        <v>#REF!</v>
      </c>
      <c r="F31" s="148">
        <f>'пр.11 2023-2024г'!H345</f>
        <v>568329.97695000004</v>
      </c>
      <c r="G31" s="197"/>
      <c r="H31" s="197"/>
    </row>
    <row r="32" spans="1:10">
      <c r="A32" s="665" t="s">
        <v>493</v>
      </c>
      <c r="B32" s="149" t="s">
        <v>212</v>
      </c>
      <c r="C32" s="149" t="s">
        <v>213</v>
      </c>
      <c r="D32" s="148">
        <f>'пр.11 2023-2024г'!G381+'пр.11 2023-2024г'!G191</f>
        <v>59977.302339999995</v>
      </c>
      <c r="E32" s="148" t="e">
        <f>#REF!+#REF!+#REF!+#REF!+#REF!</f>
        <v>#REF!</v>
      </c>
      <c r="F32" s="148">
        <f>'пр.11 2023-2024г'!H191+'пр.11 2023-2024г'!H381</f>
        <v>77614.874580000003</v>
      </c>
    </row>
    <row r="33" spans="1:10" ht="18.75" customHeight="1">
      <c r="A33" s="147" t="s">
        <v>389</v>
      </c>
      <c r="B33" s="96" t="s">
        <v>212</v>
      </c>
      <c r="C33" s="96" t="s">
        <v>212</v>
      </c>
      <c r="D33" s="199">
        <f>'пр.11 2023-2024г'!G207+'пр.11 2023-2024г'!G393</f>
        <v>8533</v>
      </c>
      <c r="E33" s="199" t="e">
        <f>#REF!+#REF!+#REF!+#REF!</f>
        <v>#REF!</v>
      </c>
      <c r="F33" s="199">
        <f>'пр.11 2023-2024г'!H207+'пр.11 2023-2024г'!H393</f>
        <v>8433</v>
      </c>
      <c r="J33" s="404"/>
    </row>
    <row r="34" spans="1:10">
      <c r="A34" s="147" t="s">
        <v>397</v>
      </c>
      <c r="B34" s="96" t="s">
        <v>212</v>
      </c>
      <c r="C34" s="96" t="s">
        <v>214</v>
      </c>
      <c r="D34" s="199">
        <f>'пр.11 2023-2024г'!G404</f>
        <v>25894.853659999993</v>
      </c>
      <c r="E34" s="199" t="e">
        <f>#REF!+#REF!+#REF!+#REF!+#REF!+#REF!+#REF!</f>
        <v>#REF!</v>
      </c>
      <c r="F34" s="199">
        <f>'пр.11 2023-2024г'!H404</f>
        <v>25921.20448</v>
      </c>
      <c r="I34" s="404"/>
    </row>
    <row r="35" spans="1:10" s="75" customFormat="1">
      <c r="A35" s="249" t="s">
        <v>66</v>
      </c>
      <c r="B35" s="336" t="s">
        <v>221</v>
      </c>
      <c r="C35" s="336"/>
      <c r="D35" s="122">
        <f>D36</f>
        <v>43876.100000000006</v>
      </c>
      <c r="E35" s="122" t="e">
        <f t="shared" ref="E35:F35" si="2">E36</f>
        <v>#REF!</v>
      </c>
      <c r="F35" s="122">
        <f t="shared" si="2"/>
        <v>57696</v>
      </c>
    </row>
    <row r="36" spans="1:10">
      <c r="A36" s="147" t="s">
        <v>394</v>
      </c>
      <c r="B36" s="96" t="s">
        <v>221</v>
      </c>
      <c r="C36" s="96" t="s">
        <v>210</v>
      </c>
      <c r="D36" s="199">
        <f>'пр.11 2023-2024г'!G213</f>
        <v>43876.100000000006</v>
      </c>
      <c r="E36" s="199" t="e">
        <f>#REF!</f>
        <v>#REF!</v>
      </c>
      <c r="F36" s="199">
        <f>'пр.11 2023-2024г'!H213</f>
        <v>57696</v>
      </c>
      <c r="I36" s="404"/>
      <c r="J36" s="404"/>
    </row>
    <row r="37" spans="1:10">
      <c r="A37" s="73" t="s">
        <v>67</v>
      </c>
      <c r="B37" s="103" t="s">
        <v>215</v>
      </c>
      <c r="C37" s="103"/>
      <c r="D37" s="104">
        <f>D38+D39+D41+D40</f>
        <v>13558.38967</v>
      </c>
      <c r="E37" s="104" t="e">
        <f>E38+E39+E41</f>
        <v>#REF!</v>
      </c>
      <c r="F37" s="104">
        <f>F38+F39+F41+F40</f>
        <v>12679.213319999999</v>
      </c>
    </row>
    <row r="38" spans="1:10">
      <c r="A38" s="147" t="s">
        <v>226</v>
      </c>
      <c r="B38" s="96" t="s">
        <v>215</v>
      </c>
      <c r="C38" s="96" t="s">
        <v>210</v>
      </c>
      <c r="D38" s="199">
        <f>'пр.11 2023-2024г'!G235</f>
        <v>4147.7133199999998</v>
      </c>
      <c r="E38" s="112" t="e">
        <f>#REF!</f>
        <v>#REF!</v>
      </c>
      <c r="F38" s="199">
        <f>'пр.11 2023-2024г'!H235</f>
        <v>4147.7133199999998</v>
      </c>
    </row>
    <row r="39" spans="1:10">
      <c r="A39" s="147" t="s">
        <v>391</v>
      </c>
      <c r="B39" s="96" t="s">
        <v>215</v>
      </c>
      <c r="C39" s="96" t="s">
        <v>213</v>
      </c>
      <c r="D39" s="199">
        <f>'пр.11 2023-2024г'!G236+'пр.11 2023-2024г'!G429</f>
        <v>3815.5</v>
      </c>
      <c r="E39" s="199" t="e">
        <f>#REF!+#REF!+#REF!+#REF!+#REF!</f>
        <v>#REF!</v>
      </c>
      <c r="F39" s="199">
        <f>'пр.11 2023-2024г'!H429+'пр.11 2023-2024г'!H236</f>
        <v>3815.5</v>
      </c>
    </row>
    <row r="40" spans="1:10">
      <c r="A40" s="147" t="s">
        <v>1111</v>
      </c>
      <c r="B40" s="96" t="s">
        <v>215</v>
      </c>
      <c r="C40" s="96" t="s">
        <v>219</v>
      </c>
      <c r="D40" s="199">
        <f>'пр.11 2023-2024г'!G249</f>
        <v>2754.0763500000003</v>
      </c>
      <c r="E40" s="890"/>
      <c r="F40" s="199">
        <f>'пр.11 2023-2024г'!H249</f>
        <v>1874.8999999999999</v>
      </c>
    </row>
    <row r="41" spans="1:10">
      <c r="A41" s="147" t="s">
        <v>392</v>
      </c>
      <c r="B41" s="96" t="s">
        <v>215</v>
      </c>
      <c r="C41" s="96" t="s">
        <v>216</v>
      </c>
      <c r="D41" s="199">
        <f>'пр.11 2023-2024г'!G263</f>
        <v>2841.0999999999995</v>
      </c>
      <c r="E41" s="112" t="e">
        <f>#REF!</f>
        <v>#REF!</v>
      </c>
      <c r="F41" s="199">
        <f>'пр.11 2023-2024г'!H263</f>
        <v>2841.0999999999995</v>
      </c>
    </row>
    <row r="42" spans="1:10">
      <c r="A42" s="73" t="s">
        <v>68</v>
      </c>
      <c r="B42" s="103" t="s">
        <v>218</v>
      </c>
      <c r="C42" s="103"/>
      <c r="D42" s="104">
        <f>D43+D44+D45</f>
        <v>18591.261460000002</v>
      </c>
      <c r="E42" s="104" t="e">
        <f t="shared" ref="E42:F42" si="3">E43+E44+E45</f>
        <v>#REF!</v>
      </c>
      <c r="F42" s="104">
        <f t="shared" si="3"/>
        <v>9274.6499100000001</v>
      </c>
    </row>
    <row r="43" spans="1:10">
      <c r="A43" s="147" t="s">
        <v>69</v>
      </c>
      <c r="B43" s="96" t="s">
        <v>218</v>
      </c>
      <c r="C43" s="96" t="s">
        <v>210</v>
      </c>
      <c r="D43" s="199">
        <f>'пр.11 2023-2024г'!G280</f>
        <v>1497.1</v>
      </c>
      <c r="E43" s="199" t="e">
        <f>#REF!+#REF!+#REF!</f>
        <v>#REF!</v>
      </c>
      <c r="F43" s="199">
        <f>'пр.11 2023-2024г'!H280</f>
        <v>0</v>
      </c>
    </row>
    <row r="44" spans="1:10">
      <c r="A44" s="147" t="s">
        <v>256</v>
      </c>
      <c r="B44" s="96" t="s">
        <v>218</v>
      </c>
      <c r="C44" s="96" t="s">
        <v>211</v>
      </c>
      <c r="D44" s="199">
        <f>'пр.11 2023-2024г'!G285</f>
        <v>1529.44991</v>
      </c>
      <c r="E44" s="112" t="e">
        <f>#REF!+#REF!</f>
        <v>#REF!</v>
      </c>
      <c r="F44" s="199">
        <f>'пр.11 2023-2024г'!H285</f>
        <v>1529.44991</v>
      </c>
    </row>
    <row r="45" spans="1:10" s="71" customFormat="1">
      <c r="A45" s="664" t="s">
        <v>724</v>
      </c>
      <c r="B45" s="96" t="s">
        <v>218</v>
      </c>
      <c r="C45" s="96" t="s">
        <v>213</v>
      </c>
      <c r="D45" s="199">
        <f>'пр.11 2023-2024г'!G292</f>
        <v>15564.71155</v>
      </c>
      <c r="E45" s="112"/>
      <c r="F45" s="199">
        <f>'пр.11 2023-2024г'!H292</f>
        <v>7745.2</v>
      </c>
    </row>
    <row r="46" spans="1:10" s="75" customFormat="1">
      <c r="A46" s="73" t="s">
        <v>70</v>
      </c>
      <c r="B46" s="103" t="s">
        <v>217</v>
      </c>
      <c r="C46" s="103"/>
      <c r="D46" s="104">
        <f t="shared" ref="D46:F46" si="4">D47</f>
        <v>609.33486000000005</v>
      </c>
      <c r="E46" s="406" t="e">
        <f t="shared" si="4"/>
        <v>#REF!</v>
      </c>
      <c r="F46" s="104">
        <f t="shared" si="4"/>
        <v>0</v>
      </c>
    </row>
    <row r="47" spans="1:10" s="75" customFormat="1">
      <c r="A47" s="147" t="s">
        <v>235</v>
      </c>
      <c r="B47" s="96" t="s">
        <v>217</v>
      </c>
      <c r="C47" s="96" t="s">
        <v>211</v>
      </c>
      <c r="D47" s="199">
        <f>'пр.11 2023-2024г'!G309</f>
        <v>609.33486000000005</v>
      </c>
      <c r="E47" s="199" t="e">
        <f>#REF!</f>
        <v>#REF!</v>
      </c>
      <c r="F47" s="199">
        <f>'пр.11 2023-2024г'!H309</f>
        <v>0</v>
      </c>
    </row>
    <row r="48" spans="1:10" ht="47.25">
      <c r="A48" s="249" t="s">
        <v>71</v>
      </c>
      <c r="B48" s="250" t="s">
        <v>223</v>
      </c>
      <c r="C48" s="250"/>
      <c r="D48" s="122">
        <f>D49+D50</f>
        <v>40840.640099999997</v>
      </c>
      <c r="E48" s="122" t="e">
        <f>E49+E50</f>
        <v>#REF!</v>
      </c>
      <c r="F48" s="122">
        <f>F49+F50</f>
        <v>41750.052600000003</v>
      </c>
    </row>
    <row r="49" spans="1:9" ht="31.5">
      <c r="A49" s="239" t="s">
        <v>72</v>
      </c>
      <c r="B49" s="149" t="s">
        <v>223</v>
      </c>
      <c r="C49" s="149" t="s">
        <v>210</v>
      </c>
      <c r="D49" s="148">
        <f>'пр.11 2023-2024г'!G55</f>
        <v>100.1</v>
      </c>
      <c r="E49" s="148" t="e">
        <f>#REF!</f>
        <v>#REF!</v>
      </c>
      <c r="F49" s="148">
        <f>'пр.11 2023-2024г'!H55</f>
        <v>104.1</v>
      </c>
    </row>
    <row r="50" spans="1:9" s="71" customFormat="1">
      <c r="A50" s="239" t="s">
        <v>73</v>
      </c>
      <c r="B50" s="149" t="s">
        <v>223</v>
      </c>
      <c r="C50" s="149" t="s">
        <v>213</v>
      </c>
      <c r="D50" s="148">
        <f>'пр.11 2023-2024г'!G315+'пр.11 2023-2024г'!G58</f>
        <v>40740.540099999998</v>
      </c>
      <c r="E50" s="148">
        <f>'пр.11 2023-2024г'!H315+'пр.11 2023-2024г'!H58</f>
        <v>41645.952600000004</v>
      </c>
      <c r="F50" s="148">
        <f>'пр.11 2023-2024г'!H58+'пр.11 2023-2024г'!H314</f>
        <v>41645.952600000004</v>
      </c>
      <c r="I50" s="409"/>
    </row>
    <row r="51" spans="1:9" s="75" customFormat="1">
      <c r="A51" s="592" t="s">
        <v>451</v>
      </c>
      <c r="B51" s="149" t="s">
        <v>450</v>
      </c>
      <c r="C51" s="149" t="s">
        <v>450</v>
      </c>
      <c r="D51" s="148">
        <f>D52</f>
        <v>8580.7950000000001</v>
      </c>
      <c r="E51" s="112"/>
      <c r="F51" s="148">
        <f>F52</f>
        <v>17626.344999999998</v>
      </c>
    </row>
    <row r="52" spans="1:9" s="75" customFormat="1">
      <c r="A52" s="370" t="s">
        <v>451</v>
      </c>
      <c r="B52" s="149" t="s">
        <v>450</v>
      </c>
      <c r="C52" s="149" t="s">
        <v>450</v>
      </c>
      <c r="D52" s="148">
        <f>D53</f>
        <v>8580.7950000000001</v>
      </c>
      <c r="E52" s="112"/>
      <c r="F52" s="148">
        <f>F53</f>
        <v>17626.344999999998</v>
      </c>
    </row>
    <row r="53" spans="1:9" s="75" customFormat="1">
      <c r="A53" s="370" t="s">
        <v>453</v>
      </c>
      <c r="B53" s="149" t="s">
        <v>450</v>
      </c>
      <c r="C53" s="149" t="s">
        <v>450</v>
      </c>
      <c r="D53" s="148">
        <f>D54</f>
        <v>8580.7950000000001</v>
      </c>
      <c r="E53" s="112"/>
      <c r="F53" s="148">
        <f>F54</f>
        <v>17626.344999999998</v>
      </c>
    </row>
    <row r="54" spans="1:9" s="75" customFormat="1">
      <c r="A54" s="370" t="s">
        <v>452</v>
      </c>
      <c r="B54" s="149" t="s">
        <v>450</v>
      </c>
      <c r="C54" s="149" t="s">
        <v>450</v>
      </c>
      <c r="D54" s="148">
        <f>D55</f>
        <v>8580.7950000000001</v>
      </c>
      <c r="E54" s="112"/>
      <c r="F54" s="148">
        <f>F55</f>
        <v>17626.344999999998</v>
      </c>
    </row>
    <row r="55" spans="1:9" s="75" customFormat="1">
      <c r="A55" s="370" t="s">
        <v>451</v>
      </c>
      <c r="B55" s="149" t="s">
        <v>450</v>
      </c>
      <c r="C55" s="149" t="s">
        <v>450</v>
      </c>
      <c r="D55" s="148">
        <f>'пр.11 2023-2024г'!G485</f>
        <v>8580.7950000000001</v>
      </c>
      <c r="E55" s="112"/>
      <c r="F55" s="148">
        <f>'пр.11 2023-2024г'!H485</f>
        <v>17626.344999999998</v>
      </c>
    </row>
    <row r="56" spans="1:9" s="75" customFormat="1">
      <c r="A56" s="362" t="s">
        <v>222</v>
      </c>
      <c r="B56" s="153"/>
      <c r="C56" s="153"/>
      <c r="D56" s="122">
        <f>D11+D19+D21+D25+D27+D29+D35+D37+D42+D46+D48+D51</f>
        <v>1096992.1999999997</v>
      </c>
      <c r="E56" s="122" t="e">
        <f>E11+E19+E21+E25+E27+E29+E35+E37+E42+E46+E48+E51</f>
        <v>#REF!</v>
      </c>
      <c r="F56" s="122">
        <f>F11+F19+F21+F25+F27+F29+F35+F37+F42+F46+F48+F51</f>
        <v>1044405.5000000001</v>
      </c>
      <c r="H56" s="417"/>
    </row>
    <row r="57" spans="1:9" s="75" customFormat="1">
      <c r="A57" s="72"/>
      <c r="B57" s="70"/>
      <c r="C57" s="70"/>
      <c r="D57" s="85">
        <f>'пр.11 2023-2024г'!G486</f>
        <v>1096992.2000000002</v>
      </c>
      <c r="E57" s="385"/>
      <c r="F57" s="85">
        <f>'пр.11 2023-2024г'!H486</f>
        <v>1044405.4999999999</v>
      </c>
    </row>
    <row r="58" spans="1:9" s="75" customFormat="1">
      <c r="A58" s="72"/>
      <c r="B58" s="70"/>
      <c r="C58" s="70"/>
      <c r="D58" s="85">
        <f>D57-D56</f>
        <v>0</v>
      </c>
      <c r="E58" s="385">
        <f>'[1]пр. 7'!H758</f>
        <v>388583.76954000001</v>
      </c>
      <c r="F58" s="85">
        <f>F57-F56</f>
        <v>0</v>
      </c>
    </row>
    <row r="59" spans="1:9" s="75" customFormat="1">
      <c r="A59" s="72"/>
      <c r="B59" s="70"/>
      <c r="C59" s="70"/>
      <c r="D59" s="85"/>
      <c r="E59" s="385"/>
      <c r="F59" s="85"/>
    </row>
    <row r="60" spans="1:9" s="75" customFormat="1">
      <c r="A60" s="72"/>
      <c r="B60" s="70"/>
      <c r="C60" s="70"/>
      <c r="D60" s="85">
        <f>D56-D57</f>
        <v>0</v>
      </c>
      <c r="E60" s="85" t="e">
        <f>E58-E56</f>
        <v>#REF!</v>
      </c>
      <c r="F60" s="85">
        <f>F56-F57</f>
        <v>0</v>
      </c>
    </row>
    <row r="61" spans="1:9" s="75" customFormat="1">
      <c r="A61" s="72"/>
      <c r="B61" s="70"/>
      <c r="C61" s="70"/>
      <c r="D61" s="85"/>
      <c r="E61" s="85"/>
      <c r="F61" s="85"/>
    </row>
    <row r="62" spans="1:9" s="75" customFormat="1">
      <c r="A62" s="72"/>
      <c r="B62" s="70"/>
      <c r="C62" s="70"/>
      <c r="D62" s="85"/>
      <c r="E62" s="385"/>
      <c r="F62" s="85"/>
    </row>
  </sheetData>
  <autoFilter ref="A11:F58"/>
  <mergeCells count="2">
    <mergeCell ref="D7:F7"/>
    <mergeCell ref="A8:D8"/>
  </mergeCells>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20</vt:i4>
      </vt:variant>
    </vt:vector>
  </HeadingPairs>
  <TitlesOfParts>
    <vt:vector size="41" baseType="lpstr">
      <vt:lpstr>пр.1</vt:lpstr>
      <vt:lpstr>пр.2</vt:lpstr>
      <vt:lpstr>пр.3</vt:lpstr>
      <vt:lpstr>пр.4</vt:lpstr>
      <vt:lpstr>пр.5</vt:lpstr>
      <vt:lpstr>пр.6 </vt:lpstr>
      <vt:lpstr>пр.7</vt:lpstr>
      <vt:lpstr>пр.8 2022г</vt:lpstr>
      <vt:lpstr>пр.9 2023-2024г</vt:lpstr>
      <vt:lpstr>пр. 10 2022г</vt:lpstr>
      <vt:lpstr>пр.11 2023-2024г</vt:lpstr>
      <vt:lpstr>пр.12 2022г</vt:lpstr>
      <vt:lpstr>пр.13 2023-2024г</vt:lpstr>
      <vt:lpstr>пр.14 2022г</vt:lpstr>
      <vt:lpstr>пр.15 2023-2024г</vt:lpstr>
      <vt:lpstr>пр.17 2022г</vt:lpstr>
      <vt:lpstr>пр.18 2023-2024г</vt:lpstr>
      <vt:lpstr>пр.21 2022г</vt:lpstr>
      <vt:lpstr>пр.22  2023-2024</vt:lpstr>
      <vt:lpstr>пр23 2022г</vt:lpstr>
      <vt:lpstr>пр24 2023-24</vt:lpstr>
      <vt:lpstr>'пр. 10 2022г'!Заголовки_для_печати</vt:lpstr>
      <vt:lpstr>пр.1!Заголовки_для_печати</vt:lpstr>
      <vt:lpstr>пр.3!Заголовки_для_печати</vt:lpstr>
      <vt:lpstr>'пр. 10 2022г'!Область_печати</vt:lpstr>
      <vt:lpstr>'пр.11 2023-2024г'!Область_печати</vt:lpstr>
      <vt:lpstr>'пр.12 2022г'!Область_печати</vt:lpstr>
      <vt:lpstr>'пр.13 2023-2024г'!Область_печати</vt:lpstr>
      <vt:lpstr>'пр.14 2022г'!Область_печати</vt:lpstr>
      <vt:lpstr>'пр.15 2023-2024г'!Область_печати</vt:lpstr>
      <vt:lpstr>пр.2!Область_печати</vt:lpstr>
      <vt:lpstr>'пр.21 2022г'!Область_печати</vt:lpstr>
      <vt:lpstr>'пр.22  2023-2024'!Область_печати</vt:lpstr>
      <vt:lpstr>пр.3!Область_печати</vt:lpstr>
      <vt:lpstr>пр.4!Область_печати</vt:lpstr>
      <vt:lpstr>пр.5!Область_печати</vt:lpstr>
      <vt:lpstr>'пр.6 '!Область_печати</vt:lpstr>
      <vt:lpstr>пр.7!Область_печати</vt:lpstr>
      <vt:lpstr>'пр.8 2022г'!Область_печати</vt:lpstr>
      <vt:lpstr>'пр.9 2023-2024г'!Область_печати</vt:lpstr>
      <vt:lpstr>'пр23 2022г'!Область_печати</vt:lpstr>
    </vt:vector>
  </TitlesOfParts>
  <Company>Финансовое управление по Мухоршибирскому району</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Пользователь</cp:lastModifiedBy>
  <cp:lastPrinted>2021-11-15T01:18:16Z</cp:lastPrinted>
  <dcterms:created xsi:type="dcterms:W3CDTF">2007-02-01T06:35:05Z</dcterms:created>
  <dcterms:modified xsi:type="dcterms:W3CDTF">2021-11-22T08:57:07Z</dcterms:modified>
</cp:coreProperties>
</file>